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Tanguayrif\Documents\Articles\Flux contamines\"/>
    </mc:Choice>
  </mc:AlternateContent>
  <xr:revisionPtr revIDLastSave="0" documentId="13_ncr:1_{E9B50F0C-0BAC-42BE-B693-83A73DEF1450}" xr6:coauthVersionLast="47" xr6:coauthVersionMax="47" xr10:uidLastSave="{00000000-0000-0000-0000-000000000000}"/>
  <bookViews>
    <workbookView xWindow="-120" yWindow="-120" windowWidth="29040" windowHeight="15720" tabRatio="621" xr2:uid="{8045FDB0-AE46-43E1-BFE1-8765A5990F8E}"/>
  </bookViews>
  <sheets>
    <sheet name="README" sheetId="23" r:id="rId1"/>
    <sheet name="baseline - AD of FW1" sheetId="4" r:id="rId2"/>
    <sheet name="baseline 2 - AD of FW2" sheetId="21" r:id="rId3"/>
    <sheet name="D1-HC-Fuel substitution" sheetId="6" r:id="rId4"/>
    <sheet name="D2-HC-Fuel substitution" sheetId="7" r:id="rId5"/>
    <sheet name="LR1-HC-Fuel substitution" sheetId="8" r:id="rId6"/>
    <sheet name="LR2-HC-Fuel substitution" sheetId="9" r:id="rId7"/>
    <sheet name="HR2-HC-Fuel substitution" sheetId="10" r:id="rId8"/>
    <sheet name="D1-HC-Soil amendment" sheetId="12" r:id="rId9"/>
    <sheet name="D2-HC-Soil amendment" sheetId="15" r:id="rId10"/>
    <sheet name="LR1-HC-Soil amendment" sheetId="13" r:id="rId11"/>
    <sheet name="LR2-HC-Soil amendment" sheetId="14" r:id="rId12"/>
    <sheet name="HR2-HC-Soil amendment" sheetId="16" r:id="rId13"/>
    <sheet name="D1-HC-no substitution" sheetId="11" r:id="rId14"/>
    <sheet name="D2-HC-no substitution" sheetId="22" r:id="rId15"/>
    <sheet name="LR1-HC-no substitution" sheetId="17" r:id="rId16"/>
    <sheet name="LR2-HC-no substitution" sheetId="18" r:id="rId17"/>
    <sheet name="HR2-HC-no substitution" sheetId="19" r:id="rId18"/>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2" i="4" l="1"/>
  <c r="B69" i="21"/>
  <c r="B68" i="21"/>
  <c r="B64" i="21"/>
  <c r="C60" i="21"/>
  <c r="B74" i="21" s="1"/>
  <c r="B74" i="4"/>
  <c r="B73" i="4"/>
  <c r="B72" i="4"/>
  <c r="B71" i="4"/>
  <c r="B70" i="4"/>
  <c r="B64" i="4"/>
  <c r="B63" i="4"/>
  <c r="B62" i="4"/>
  <c r="B69" i="4"/>
  <c r="C60" i="4"/>
  <c r="B13" i="4"/>
  <c r="B33" i="21"/>
  <c r="B48" i="22"/>
  <c r="B51" i="15"/>
  <c r="B44" i="7"/>
  <c r="B20" i="14"/>
  <c r="B62" i="21" l="1"/>
  <c r="B70" i="21"/>
  <c r="B71" i="21"/>
  <c r="B63" i="21"/>
  <c r="B72" i="21"/>
  <c r="B73" i="21"/>
  <c r="B101" i="19"/>
  <c r="B78" i="19"/>
  <c r="B77" i="19"/>
  <c r="B75" i="19"/>
  <c r="B71" i="19"/>
  <c r="B69" i="19" s="1"/>
  <c r="B64" i="19"/>
  <c r="B51" i="19"/>
  <c r="B50" i="19"/>
  <c r="B22" i="19"/>
  <c r="B20" i="19"/>
  <c r="B19" i="19"/>
  <c r="B18" i="19"/>
  <c r="B13" i="19"/>
  <c r="B12" i="19"/>
  <c r="B100" i="18"/>
  <c r="B77" i="18"/>
  <c r="B76" i="18"/>
  <c r="B74" i="18"/>
  <c r="B70" i="18"/>
  <c r="B68" i="18" s="1"/>
  <c r="B63" i="18"/>
  <c r="B50" i="18"/>
  <c r="B49" i="18"/>
  <c r="B22" i="18"/>
  <c r="B20" i="18"/>
  <c r="B19" i="18"/>
  <c r="B18" i="18"/>
  <c r="B17" i="18"/>
  <c r="B13" i="18"/>
  <c r="B12" i="18"/>
  <c r="B100" i="17"/>
  <c r="B77" i="17"/>
  <c r="B76" i="17"/>
  <c r="B74" i="17"/>
  <c r="B70" i="17"/>
  <c r="B68" i="17" s="1"/>
  <c r="B63" i="17"/>
  <c r="B50" i="17"/>
  <c r="B49" i="17"/>
  <c r="B22" i="17"/>
  <c r="B20" i="17"/>
  <c r="B19" i="17"/>
  <c r="B18" i="17"/>
  <c r="B13" i="17"/>
  <c r="B12" i="17"/>
  <c r="B89" i="11"/>
  <c r="B53" i="11"/>
  <c r="B66" i="11" s="1"/>
  <c r="B51" i="11"/>
  <c r="B21" i="11"/>
  <c r="B19" i="11"/>
  <c r="B18" i="11"/>
  <c r="B17" i="11"/>
  <c r="B11" i="11"/>
  <c r="B10" i="11"/>
  <c r="B79" i="22"/>
  <c r="B44" i="22"/>
  <c r="B56" i="22" s="1"/>
  <c r="B21" i="22"/>
  <c r="B19" i="22"/>
  <c r="B18" i="22"/>
  <c r="B17" i="22"/>
  <c r="B11" i="22"/>
  <c r="B10" i="22"/>
  <c r="B19" i="16"/>
  <c r="B18" i="16"/>
  <c r="B17" i="16"/>
  <c r="B19" i="14"/>
  <c r="B18" i="14"/>
  <c r="B17" i="14"/>
  <c r="B19" i="13"/>
  <c r="B18" i="13"/>
  <c r="B17" i="13"/>
  <c r="B18" i="15"/>
  <c r="B17" i="15"/>
  <c r="B16" i="15"/>
  <c r="B10" i="15"/>
  <c r="B21" i="15"/>
  <c r="B47" i="15"/>
  <c r="B56" i="15"/>
  <c r="B63" i="15" s="1"/>
  <c r="B58" i="15"/>
  <c r="B59" i="15"/>
  <c r="B68" i="15"/>
  <c r="B69" i="15"/>
  <c r="B93" i="15"/>
  <c r="B22" i="16"/>
  <c r="B22" i="14"/>
  <c r="B22" i="13"/>
  <c r="B113" i="16"/>
  <c r="B80" i="16"/>
  <c r="B79" i="16"/>
  <c r="B77" i="16"/>
  <c r="B84" i="16" s="1"/>
  <c r="B73" i="16"/>
  <c r="B71" i="16" s="1"/>
  <c r="B66" i="16"/>
  <c r="B53" i="16"/>
  <c r="B52" i="16"/>
  <c r="B12" i="16"/>
  <c r="B114" i="14"/>
  <c r="B80" i="14"/>
  <c r="B79" i="14"/>
  <c r="B77" i="14"/>
  <c r="B84" i="14" s="1"/>
  <c r="B73" i="14"/>
  <c r="B71" i="14" s="1"/>
  <c r="B66" i="14"/>
  <c r="B53" i="14"/>
  <c r="B52" i="14"/>
  <c r="B16" i="14"/>
  <c r="B12" i="14"/>
  <c r="B113" i="13"/>
  <c r="B80" i="13"/>
  <c r="B79" i="13"/>
  <c r="B77" i="13"/>
  <c r="B84" i="13" s="1"/>
  <c r="B73" i="13"/>
  <c r="B71" i="13" s="1"/>
  <c r="B66" i="13"/>
  <c r="B53" i="13"/>
  <c r="B52" i="13"/>
  <c r="B12" i="13"/>
  <c r="B18" i="12"/>
  <c r="B17" i="12"/>
  <c r="B16" i="12"/>
  <c r="B21" i="12"/>
  <c r="B103" i="12"/>
  <c r="B56" i="12"/>
  <c r="B69" i="12" s="1"/>
  <c r="B54" i="12"/>
  <c r="B10" i="12"/>
  <c r="B67" i="10"/>
  <c r="B65" i="10" s="1"/>
  <c r="B12" i="10"/>
  <c r="B12" i="9"/>
  <c r="B17" i="9"/>
  <c r="B10" i="7"/>
  <c r="B10" i="6"/>
  <c r="B12" i="8"/>
  <c r="B67" i="9"/>
  <c r="B65" i="9" s="1"/>
  <c r="B48" i="6"/>
  <c r="B60" i="10"/>
  <c r="B60" i="9"/>
  <c r="B60" i="8"/>
  <c r="B13" i="10"/>
  <c r="B13" i="9"/>
  <c r="B67" i="8"/>
  <c r="B65" i="8" s="1"/>
  <c r="B40" i="7"/>
  <c r="B37" i="15" l="1"/>
  <c r="B39" i="15"/>
  <c r="B38" i="15"/>
  <c r="B76" i="19"/>
  <c r="B97" i="19" s="1"/>
  <c r="B75" i="18"/>
  <c r="B96" i="18"/>
  <c r="B75" i="17"/>
  <c r="B96" i="17"/>
  <c r="B99" i="19"/>
  <c r="B88" i="19"/>
  <c r="B98" i="18"/>
  <c r="B87" i="18"/>
  <c r="B98" i="17"/>
  <c r="B87" i="17"/>
  <c r="B59" i="11"/>
  <c r="B57" i="11" s="1"/>
  <c r="B63" i="11"/>
  <c r="B65" i="11"/>
  <c r="B53" i="22"/>
  <c r="B55" i="22"/>
  <c r="B54" i="22" s="1"/>
  <c r="B77" i="22" s="1"/>
  <c r="B78" i="13"/>
  <c r="B111" i="13" s="1"/>
  <c r="B57" i="15"/>
  <c r="B89" i="15" s="1"/>
  <c r="B78" i="16"/>
  <c r="B111" i="16" s="1"/>
  <c r="B78" i="14"/>
  <c r="B112" i="14" s="1"/>
  <c r="B89" i="16"/>
  <c r="B101" i="14"/>
  <c r="B89" i="14"/>
  <c r="B90" i="14"/>
  <c r="B89" i="13"/>
  <c r="B62" i="12"/>
  <c r="B60" i="12" s="1"/>
  <c r="B68" i="12"/>
  <c r="B66" i="12"/>
  <c r="B73" i="12" s="1"/>
  <c r="B79" i="21"/>
  <c r="B54" i="21"/>
  <c r="B53" i="21"/>
  <c r="B46" i="21"/>
  <c r="B45" i="21"/>
  <c r="B24" i="21"/>
  <c r="B13" i="21"/>
  <c r="B16" i="21" s="1"/>
  <c r="B12" i="21"/>
  <c r="B14" i="21" s="1"/>
  <c r="B6" i="21"/>
  <c r="B7" i="21" s="1"/>
  <c r="B13" i="8"/>
  <c r="B11" i="7"/>
  <c r="B24" i="4"/>
  <c r="B44" i="16" l="1"/>
  <c r="B43" i="16"/>
  <c r="B100" i="16"/>
  <c r="B109" i="16"/>
  <c r="B44" i="14"/>
  <c r="B43" i="14"/>
  <c r="B44" i="13"/>
  <c r="B43" i="13"/>
  <c r="B100" i="13"/>
  <c r="B109" i="13"/>
  <c r="B75" i="22"/>
  <c r="B66" i="22"/>
  <c r="B110" i="14"/>
  <c r="B42" i="14"/>
  <c r="B42" i="13"/>
  <c r="B80" i="15"/>
  <c r="B34" i="15" s="1"/>
  <c r="B35" i="15" s="1"/>
  <c r="B36" i="15" s="1"/>
  <c r="B91" i="15"/>
  <c r="B15" i="21"/>
  <c r="B30" i="21" s="1"/>
  <c r="B32" i="21" s="1"/>
  <c r="B42" i="16"/>
  <c r="B100" i="19"/>
  <c r="B102" i="19" s="1"/>
  <c r="B37" i="19"/>
  <c r="B38" i="19" s="1"/>
  <c r="B39" i="19" s="1"/>
  <c r="B99" i="18"/>
  <c r="B101" i="18" s="1"/>
  <c r="B36" i="18"/>
  <c r="B37" i="18" s="1"/>
  <c r="B38" i="18" s="1"/>
  <c r="B102" i="18"/>
  <c r="B99" i="17"/>
  <c r="B101" i="17" s="1"/>
  <c r="B36" i="17"/>
  <c r="B37" i="17" s="1"/>
  <c r="B38" i="17" s="1"/>
  <c r="B102" i="17"/>
  <c r="B64" i="11"/>
  <c r="B78" i="22"/>
  <c r="B80" i="22" s="1"/>
  <c r="B34" i="22"/>
  <c r="B35" i="22" s="1"/>
  <c r="B36" i="22" s="1"/>
  <c r="B92" i="15"/>
  <c r="B94" i="15" s="1"/>
  <c r="B90" i="16"/>
  <c r="B36" i="16"/>
  <c r="B37" i="16" s="1"/>
  <c r="B38" i="16" s="1"/>
  <c r="B112" i="16"/>
  <c r="B114" i="16" s="1"/>
  <c r="B36" i="14"/>
  <c r="B37" i="14" s="1"/>
  <c r="B38" i="14" s="1"/>
  <c r="B113" i="14"/>
  <c r="B115" i="14" s="1"/>
  <c r="B116" i="14" s="1"/>
  <c r="B36" i="13"/>
  <c r="B37" i="13" s="1"/>
  <c r="B38" i="13" s="1"/>
  <c r="B112" i="13"/>
  <c r="B114" i="13" s="1"/>
  <c r="B115" i="13" s="1"/>
  <c r="B90" i="13"/>
  <c r="B78" i="12"/>
  <c r="B67" i="12"/>
  <c r="B17" i="21"/>
  <c r="B11" i="6"/>
  <c r="B40" i="12" l="1"/>
  <c r="B39" i="12"/>
  <c r="B95" i="15"/>
  <c r="B38" i="12"/>
  <c r="B84" i="21"/>
  <c r="B89" i="19"/>
  <c r="B104" i="19"/>
  <c r="B103" i="19"/>
  <c r="B103" i="18"/>
  <c r="B88" i="18"/>
  <c r="B103" i="17"/>
  <c r="B88" i="17"/>
  <c r="B87" i="11"/>
  <c r="B76" i="11"/>
  <c r="B85" i="11"/>
  <c r="B82" i="22"/>
  <c r="B67" i="22"/>
  <c r="B81" i="22"/>
  <c r="B96" i="15"/>
  <c r="B81" i="15"/>
  <c r="B116" i="16"/>
  <c r="B101" i="16"/>
  <c r="B115" i="16"/>
  <c r="B102" i="14"/>
  <c r="B117" i="14"/>
  <c r="B101" i="13"/>
  <c r="B116" i="13"/>
  <c r="B101" i="12"/>
  <c r="B99" i="12"/>
  <c r="B90" i="12"/>
  <c r="B79" i="12"/>
  <c r="B78" i="21"/>
  <c r="B71" i="8"/>
  <c r="B78" i="8" s="1"/>
  <c r="B38" i="21" l="1"/>
  <c r="B37" i="21"/>
  <c r="B83" i="21"/>
  <c r="B35" i="11"/>
  <c r="B36" i="11" s="1"/>
  <c r="B37" i="11" s="1"/>
  <c r="B88" i="11"/>
  <c r="B90" i="11" s="1"/>
  <c r="B91" i="11" s="1"/>
  <c r="B102" i="12"/>
  <c r="B104" i="12" s="1"/>
  <c r="B105" i="12" s="1"/>
  <c r="B35" i="12"/>
  <c r="B36" i="12" s="1"/>
  <c r="B37" i="12" s="1"/>
  <c r="B83" i="8"/>
  <c r="B84" i="8" s="1"/>
  <c r="B36" i="21"/>
  <c r="B73" i="8"/>
  <c r="B71" i="10"/>
  <c r="B78" i="10" s="1"/>
  <c r="B71" i="9"/>
  <c r="B78" i="9" s="1"/>
  <c r="B74" i="10"/>
  <c r="B73" i="10"/>
  <c r="B74" i="9"/>
  <c r="B73" i="9"/>
  <c r="B74" i="8"/>
  <c r="B49" i="7"/>
  <c r="B56" i="7" s="1"/>
  <c r="B52" i="7"/>
  <c r="B255" i="10"/>
  <c r="B47" i="10"/>
  <c r="B46" i="10"/>
  <c r="B255" i="9"/>
  <c r="B47" i="9"/>
  <c r="B46" i="9"/>
  <c r="B77" i="11" l="1"/>
  <c r="B92" i="11"/>
  <c r="B106" i="12"/>
  <c r="B91" i="12"/>
  <c r="B72" i="10"/>
  <c r="B253" i="10" s="1"/>
  <c r="B83" i="10"/>
  <c r="B84" i="10" s="1"/>
  <c r="B72" i="9"/>
  <c r="B83" i="9"/>
  <c r="B84" i="9" s="1"/>
  <c r="B72" i="8"/>
  <c r="B253" i="9"/>
  <c r="B51" i="7"/>
  <c r="B50" i="7" s="1"/>
  <c r="B242" i="10"/>
  <c r="B251" i="10"/>
  <c r="B30" i="9"/>
  <c r="B31" i="9" s="1"/>
  <c r="B47" i="8"/>
  <c r="B46" i="8"/>
  <c r="B255" i="8"/>
  <c r="B233" i="7"/>
  <c r="B30" i="10" l="1"/>
  <c r="B31" i="10" s="1"/>
  <c r="B242" i="9"/>
  <c r="B33" i="9" s="1"/>
  <c r="B254" i="10"/>
  <c r="B256" i="10" s="1"/>
  <c r="B258" i="10" s="1"/>
  <c r="B33" i="10"/>
  <c r="B251" i="9"/>
  <c r="B61" i="7"/>
  <c r="B62" i="7" s="1"/>
  <c r="B243" i="10"/>
  <c r="B79" i="4"/>
  <c r="B245" i="6"/>
  <c r="B54" i="4"/>
  <c r="B53" i="4"/>
  <c r="B46" i="4"/>
  <c r="B45" i="4"/>
  <c r="B6" i="4"/>
  <c r="B7" i="4" s="1"/>
  <c r="B16" i="4"/>
  <c r="B14" i="4"/>
  <c r="B34" i="10" l="1"/>
  <c r="B35" i="10" s="1"/>
  <c r="B257" i="10"/>
  <c r="B254" i="9"/>
  <c r="B256" i="9" s="1"/>
  <c r="B34" i="9"/>
  <c r="B35" i="9" s="1"/>
  <c r="B15" i="4"/>
  <c r="B17" i="4"/>
  <c r="B30" i="4" l="1"/>
  <c r="B32" i="4" s="1"/>
  <c r="B33" i="4" s="1"/>
  <c r="B68" i="4"/>
  <c r="B84" i="4"/>
  <c r="B78" i="4"/>
  <c r="B258" i="9"/>
  <c r="B257" i="9"/>
  <c r="B243" i="9"/>
  <c r="B83" i="4" l="1"/>
  <c r="B37" i="4"/>
  <c r="B38" i="4"/>
  <c r="B36" i="4"/>
  <c r="B28" i="7"/>
  <c r="B29" i="7" s="1"/>
  <c r="B231" i="7"/>
  <c r="B229" i="7"/>
  <c r="B220" i="7"/>
  <c r="B253" i="8"/>
  <c r="B251" i="8"/>
  <c r="B242" i="8"/>
  <c r="B30" i="8"/>
  <c r="B31" i="8" s="1"/>
  <c r="B254" i="8" l="1"/>
  <c r="B256" i="8" s="1"/>
  <c r="B33" i="8"/>
  <c r="B232" i="7"/>
  <c r="B234" i="7" s="1"/>
  <c r="B221" i="7" s="1"/>
  <c r="B31" i="7"/>
  <c r="B243" i="8" l="1"/>
  <c r="B34" i="8" s="1"/>
  <c r="B35" i="8" s="1"/>
  <c r="B258" i="8"/>
  <c r="B257" i="8"/>
  <c r="B32" i="7"/>
  <c r="B33" i="7" s="1"/>
  <c r="B235" i="7"/>
  <c r="B236" i="7"/>
  <c r="B50" i="6" l="1"/>
  <c r="B61" i="6" s="1"/>
  <c r="B68" i="6" s="1"/>
  <c r="B57" i="6" l="1"/>
  <c r="B55" i="6" s="1"/>
  <c r="B73" i="6"/>
  <c r="B29" i="6" s="1"/>
  <c r="B30" i="6" s="1"/>
  <c r="B64" i="6"/>
  <c r="B63" i="6"/>
  <c r="B62" i="6" l="1"/>
  <c r="B232" i="6" s="1"/>
  <c r="B243" i="6"/>
  <c r="B241" i="6"/>
  <c r="B74" i="6"/>
  <c r="B32" i="6" l="1"/>
  <c r="B33" i="6" s="1"/>
  <c r="B34" i="6" s="1"/>
  <c r="B244" i="6"/>
  <c r="B246" i="6" s="1"/>
  <c r="B248" i="6" l="1"/>
  <c r="B233" i="6"/>
  <c r="B247" i="6"/>
</calcChain>
</file>

<file path=xl/sharedStrings.xml><?xml version="1.0" encoding="utf-8"?>
<sst xmlns="http://schemas.openxmlformats.org/spreadsheetml/2006/main" count="7338" uniqueCount="377">
  <si>
    <t>The following file represents the inventories of the 17 configurations considered in this study.</t>
  </si>
  <si>
    <t>A block flow diagram showing the mass balances of each configuration is also shown. At the top left of each sheet</t>
  </si>
  <si>
    <t>A few hypothesis/notes regarding the inventories:</t>
  </si>
  <si>
    <t>1. The end of life of the machines and equipment were not considered for simplicity and due to their limited impact</t>
  </si>
  <si>
    <t>2. The transport was also not included, this is a gate-to-grave LCA</t>
  </si>
  <si>
    <t>3. The block flow diagrams for the no-substitution cases are the same as their respective HC-NPK substitution minus the hydrochar drying and the substitution itself</t>
  </si>
  <si>
    <t>Flow</t>
  </si>
  <si>
    <t>Amount</t>
  </si>
  <si>
    <t>Unit</t>
  </si>
  <si>
    <t>Source</t>
  </si>
  <si>
    <t>Notes</t>
  </si>
  <si>
    <t>Provider (Supply chain)</t>
  </si>
  <si>
    <t>General info for scaling  flows</t>
  </si>
  <si>
    <t>Manure_needed_AD_for_1m3_biogas</t>
  </si>
  <si>
    <t>kg</t>
  </si>
  <si>
    <t>ecoinvent</t>
  </si>
  <si>
    <t>CH4 density at STP</t>
  </si>
  <si>
    <t>kg/m3</t>
  </si>
  <si>
    <t>CO2 density at STP</t>
  </si>
  <si>
    <t>Biogas density at STP</t>
  </si>
  <si>
    <t>Foodwaste_needed_AD_for_1m3_biogas</t>
  </si>
  <si>
    <t>Banks et al., 2018</t>
  </si>
  <si>
    <t>biogas_needed_for_1m3_biomethane</t>
  </si>
  <si>
    <t>m3</t>
  </si>
  <si>
    <t>biomethane_needed_for_1MJ_heat</t>
  </si>
  <si>
    <t>kg_biogas/ 1 kg_FW</t>
  </si>
  <si>
    <t>kg_digestate/1 kg_FW</t>
  </si>
  <si>
    <t>Banks et al., 2019</t>
  </si>
  <si>
    <t>adjusting A10 for 0.8 kg FW</t>
  </si>
  <si>
    <t>adjusting A11 for 0.8 kg FW</t>
  </si>
  <si>
    <t>adjusting #biogas with remainder from mass balances</t>
  </si>
  <si>
    <t>in m3</t>
  </si>
  <si>
    <t>adjusting #digestate with remainder from mass balances</t>
  </si>
  <si>
    <t>digestate_moisture_content (D1)</t>
  </si>
  <si>
    <t>assumed that the digestate D1 has a 85% moisture content before press (like D2 where it was given before pressing)</t>
  </si>
  <si>
    <t>solid D1 moisture after drying</t>
  </si>
  <si>
    <t>D1_ N content</t>
  </si>
  <si>
    <t>D1_P content</t>
  </si>
  <si>
    <t>D1_K content</t>
  </si>
  <si>
    <t>Molar mass P2O5</t>
  </si>
  <si>
    <t>g/mol</t>
  </si>
  <si>
    <t>Molar mass K2O</t>
  </si>
  <si>
    <t>ash (%)</t>
  </si>
  <si>
    <t>Treatment Process_baseline (Process delivering the functional unit)</t>
  </si>
  <si>
    <t>Inputs</t>
  </si>
  <si>
    <t>AD Process</t>
  </si>
  <si>
    <t>Item(s)</t>
  </si>
  <si>
    <t>Biogas Upgrading Process</t>
  </si>
  <si>
    <t>Hammer Mill Process</t>
  </si>
  <si>
    <t>Heat production from Biomethane</t>
  </si>
  <si>
    <t>MJ</t>
  </si>
  <si>
    <t>heat, district or industrial, natural gas (Substitution)</t>
  </si>
  <si>
    <t>market for heat, district or industrial, natural gas | heat, district or industrial, natural gas | Cutoff, U CA-QC</t>
  </si>
  <si>
    <t>Settling Tank Process</t>
  </si>
  <si>
    <t>Digestate dewatering Process</t>
  </si>
  <si>
    <t>Substitution N fertilizer</t>
  </si>
  <si>
    <t>market for inorganic nitrogen fertiliser, as N | inorganic nitrogen fertiliser, as N | Cutoff, U - CA</t>
  </si>
  <si>
    <t>Substitution P fertilizer</t>
  </si>
  <si>
    <t>market for inorganic phosphorus fertiliser, as P2O5 | inorganic phosphorus fertiliser, as P2O5 | Cutoff, U - CA</t>
  </si>
  <si>
    <t>Substitution K fertilizer</t>
  </si>
  <si>
    <t>market for inorganic potassium fertiliser, as K2O | inorganic potassium fertiliser, as K2O | Cutoff, U - CA</t>
  </si>
  <si>
    <t>Outputs</t>
  </si>
  <si>
    <t>Fod Waste Treated (FU)</t>
  </si>
  <si>
    <t>Treatment in Hammer Mill</t>
  </si>
  <si>
    <t>electricity</t>
  </si>
  <si>
    <t>kwh</t>
  </si>
  <si>
    <t>https://www.bioenergy-machine.com/hammer-mill.html</t>
  </si>
  <si>
    <t>medium hammer mill: 20 kw, capacity 1500 kg/hr</t>
  </si>
  <si>
    <t>market for electricity, medium voltage | electricity, medium voltage | Cutoff, U - CA-QC</t>
  </si>
  <si>
    <t>machine_use</t>
  </si>
  <si>
    <t>kg_machine</t>
  </si>
  <si>
    <t>20 years lifespan, operates 3000 h/year, treats 1500 kg/hr, machine weighs 2000 kg of steel</t>
  </si>
  <si>
    <t>industrial machine production, heavy, unspecified | industrial machine, heavy, unspecified | Cutoff, U - RoW</t>
  </si>
  <si>
    <t>item</t>
  </si>
  <si>
    <t>Treatment in Settling Tank</t>
  </si>
  <si>
    <t>Electricity and equipment use were approximated using hammer mill data. The impact is negligible due to Quebec’s low-carbon electricity and long equipment lifespan</t>
  </si>
  <si>
    <t>Ouputs</t>
  </si>
  <si>
    <t>reject</t>
  </si>
  <si>
    <t>treatment of municiapal solid waste, sanitary landfill | municipal solid waste | Cutoff, U - CA-QC</t>
  </si>
  <si>
    <t xml:space="preserve">Treatment of waste in AD </t>
  </si>
  <si>
    <t>Scaling Factor (SF_total) --&gt;</t>
  </si>
  <si>
    <t>based on anaerobic digestion of manure | biogas | Cutoff, U</t>
  </si>
  <si>
    <t>Scaling done in reference to input feedstock difference between manure (ecoinvent) and FW (Banks et al) and also accounts the fact that we are treating 0.8 kg not 1 (losses at settling tank in rejects)</t>
  </si>
  <si>
    <t>anaerobic digestion plant, agriculture, with methane recovery</t>
  </si>
  <si>
    <t>market for anaerobic digestion plant, agriculture, with methane recovery | anaerobic digestion plant, agriculture, with methane recovery | Cutoff, U - GLO</t>
  </si>
  <si>
    <t>electricity, medium voltage</t>
  </si>
  <si>
    <t>kWh</t>
  </si>
  <si>
    <t>heat, district or industrial, natural gas</t>
  </si>
  <si>
    <t>market for heat, district or industrial, natural gas | heat, district or industrial, natural gas | Cutoff, U - CA-QC</t>
  </si>
  <si>
    <t>biogas</t>
  </si>
  <si>
    <t>digestate</t>
  </si>
  <si>
    <t>Ammonia</t>
  </si>
  <si>
    <t>Carbon dioxide, non-fossil</t>
  </si>
  <si>
    <t>Dinitrogen monoxide</t>
  </si>
  <si>
    <t>Hydrogen sulfide</t>
  </si>
  <si>
    <t>Methane, non-fossil</t>
  </si>
  <si>
    <t xml:space="preserve">Digestate dewatering </t>
  </si>
  <si>
    <t>Pressoir Rotatif Fournier :BiogasWorld</t>
  </si>
  <si>
    <t>7.5 kW, initial moisture 0.9, final 0.7</t>
  </si>
  <si>
    <t>industrial machine, heavy, unspecified</t>
  </si>
  <si>
    <t>https://cleanwaterservices.org/wp-content/uploads/2022/10/TM12_SolidsCapacityEval_Final.pdf</t>
  </si>
  <si>
    <t>20 years lifespan, operates 3000 h/year, treats 780 kg/hr, machine weighs 3000 kg of steel</t>
  </si>
  <si>
    <t>item(s)</t>
  </si>
  <si>
    <t>Wastewater</t>
  </si>
  <si>
    <t>market for wastewater, average | wastewater, average | Cutoff, U - CA-QC</t>
  </si>
  <si>
    <t>solid digestate</t>
  </si>
  <si>
    <t xml:space="preserve"> (Initial_digestate_Mass * (1 - Initial_Moisture_Content)) / (1 - Final_Moisture_Content)</t>
  </si>
  <si>
    <t>Biogas Upgrading</t>
  </si>
  <si>
    <t>based on biogas purification to biomethane by pressure swing adsorption | biomethane, high pressure | Cutoff, U</t>
  </si>
  <si>
    <t>charcoal</t>
  </si>
  <si>
    <t>market for charcoal | charcoal | Cutoff, U - GLO</t>
  </si>
  <si>
    <t>chemical factory, organics</t>
  </si>
  <si>
    <t>chemical factory construction, organics | chemical factory, organics | Cutoff, U - ROW</t>
  </si>
  <si>
    <t>lubricating oil</t>
  </si>
  <si>
    <t>market for lubricating oil | lubricating oil | Cutoff, U - ROW</t>
  </si>
  <si>
    <t>potassium hydroxide</t>
  </si>
  <si>
    <t>market for potassium hydroxide | potassium hydroxide | Cutoff, U - GLO</t>
  </si>
  <si>
    <t>biomethane, high pressure</t>
  </si>
  <si>
    <t>Heat, waste</t>
  </si>
  <si>
    <t>Nitrogen</t>
  </si>
  <si>
    <t>Sulfur dioxide</t>
  </si>
  <si>
    <t>based on heat production, biomethane, at boiler condensing modulating &lt;100kW | heat, central or small-scale, biomethane | Cutoff, U</t>
  </si>
  <si>
    <t>gas boiler</t>
  </si>
  <si>
    <t>market for gas boiler | gas boiler | Cutoff, U - GLO</t>
  </si>
  <si>
    <t>Biomethane Combustion Process</t>
  </si>
  <si>
    <t>heat, central or small-scale, biomethane</t>
  </si>
  <si>
    <t>0 to avoid double counting since we already account for the production of heat from natural gas later, here the goal is to only consider the infrastructure and electricity and other inputs and emissions related to the direct biomethane combustion process</t>
  </si>
  <si>
    <t>Emissions</t>
  </si>
  <si>
    <t>Acetaldehyde</t>
  </si>
  <si>
    <t>Acetic acid</t>
  </si>
  <si>
    <t>Benzene</t>
  </si>
  <si>
    <t>Benzo(a)pyrene</t>
  </si>
  <si>
    <t>Butane</t>
  </si>
  <si>
    <t>Carbon monoxide, non-fossil</t>
  </si>
  <si>
    <t>Dioxins, measured as 2,3,7,8-tetrachlorodibenzo-p-dioxin</t>
  </si>
  <si>
    <t>Formaldehyde</t>
  </si>
  <si>
    <t>Mercury II</t>
  </si>
  <si>
    <t>Nitrate</t>
  </si>
  <si>
    <t>Nitrite</t>
  </si>
  <si>
    <t>Nitrogen oxides</t>
  </si>
  <si>
    <t>PAH, polycyclic aromatic hydrocarbons</t>
  </si>
  <si>
    <t>Particulate Matter, &lt; 2.5 um</t>
  </si>
  <si>
    <t>Pentane</t>
  </si>
  <si>
    <t>Propane</t>
  </si>
  <si>
    <t>Propionic acid</t>
  </si>
  <si>
    <t>Sulfate</t>
  </si>
  <si>
    <t>Sulfite</t>
  </si>
  <si>
    <t>Toluene</t>
  </si>
  <si>
    <t>Heat,district or industrial, natural gas (Substitution)</t>
  </si>
  <si>
    <t>industrial furnace, natural gas</t>
  </si>
  <si>
    <t>market for industrial furnace, natural gas | industrial furnace, natural gas | Cutoff, U - GLO</t>
  </si>
  <si>
    <t>natural gas, high pressure</t>
  </si>
  <si>
    <t>market for natural gas, high pressure | natural gas, high pressure | Cutoff, U - CA</t>
  </si>
  <si>
    <t>Carbon dioxide, fossil</t>
  </si>
  <si>
    <t>Carbon monoxide, fossil</t>
  </si>
  <si>
    <t>Methane, fossil</t>
  </si>
  <si>
    <t>adjusting A7 for 0.8 kg FW</t>
  </si>
  <si>
    <t>adjusting A8 for 0.8 kg FW</t>
  </si>
  <si>
    <t>Processes with 1 have been scaled down in their respective boxes</t>
  </si>
  <si>
    <t>general info</t>
  </si>
  <si>
    <t>biogas density</t>
  </si>
  <si>
    <t>SY_HTC_D1</t>
  </si>
  <si>
    <t>data</t>
  </si>
  <si>
    <t>LY_HTC_D1</t>
  </si>
  <si>
    <t>GY_HTC_D1</t>
  </si>
  <si>
    <t>moisture_content_HC_D1</t>
  </si>
  <si>
    <t>hardcoal_needed_toproduce_1MJ</t>
  </si>
  <si>
    <t>based on heat production, at hard coal industrial furnace 1-10MW | heat, district or industrial, other than natural gas | Cutoff, U</t>
  </si>
  <si>
    <t>SubstitutionFactor_HC_COAL</t>
  </si>
  <si>
    <t xml:space="preserve"> ratio of HHV / HHV of hard coal, being 27</t>
  </si>
  <si>
    <t>COD_PW1_D1</t>
  </si>
  <si>
    <t>g COD/ L</t>
  </si>
  <si>
    <t xml:space="preserve">experimental data </t>
  </si>
  <si>
    <t>BMP_PW_D1</t>
  </si>
  <si>
    <t>L CH4/g COD</t>
  </si>
  <si>
    <t>D1 moisture after drying</t>
  </si>
  <si>
    <t>HHV D1-HC</t>
  </si>
  <si>
    <t>MJ/kg</t>
  </si>
  <si>
    <t>Treatment Process_baseline</t>
  </si>
  <si>
    <t>Digestate Valorization in HTC</t>
  </si>
  <si>
    <t>Hydrochar Drying Process</t>
  </si>
  <si>
    <t>Heat Production from Dried Hydrochar</t>
  </si>
  <si>
    <t xml:space="preserve">heat,  heat, district or industrial, coal </t>
  </si>
  <si>
    <t>heat production, at hard coal industrial furnace 1-10MW | heat, district or industrial, other than natural gas | Cutoff, U - CA-QC</t>
  </si>
  <si>
    <t>Process Water Valorization in AD</t>
  </si>
  <si>
    <t>Biogas Upgrading Process 2</t>
  </si>
  <si>
    <t>Heat production from Biomethane 2</t>
  </si>
  <si>
    <t>heat, district or industrial, natural gas (Substitution 2)</t>
  </si>
  <si>
    <t>the inventory for the first 7 processes is the same as in the baseline</t>
  </si>
  <si>
    <t>Digestate Dewatering Process</t>
  </si>
  <si>
    <t>wastewater</t>
  </si>
  <si>
    <t>solid wet digestate</t>
  </si>
  <si>
    <t>solid dry digestate (in dry terms)</t>
  </si>
  <si>
    <t>kg_dry</t>
  </si>
  <si>
    <t>TS = 0.3 cz moisture D1 = 70%</t>
  </si>
  <si>
    <t>Digestate Valorization in HTC Process (created process)</t>
  </si>
  <si>
    <t>feedstock</t>
  </si>
  <si>
    <t>0.3 kWh_wet/kg, Lucian et al. (2017)</t>
  </si>
  <si>
    <t>assumed same as hammer mill</t>
  </si>
  <si>
    <t>Tap Water</t>
  </si>
  <si>
    <t xml:space="preserve"> (Initial_Mass * Initial_Solids_Content - Initial_Mass * Target_Solids_Content) / Target_Solids_Content</t>
  </si>
  <si>
    <t>market for tap water | tap water | Cutoff, U - CA-QC</t>
  </si>
  <si>
    <t xml:space="preserve">Digestate Valorization in HTC Process </t>
  </si>
  <si>
    <t>Hydrochar</t>
  </si>
  <si>
    <t>process water</t>
  </si>
  <si>
    <t>assuming 95% of gases are CO2, 5% are CO, both biogenic</t>
  </si>
  <si>
    <t>Hydrochar Drying</t>
  </si>
  <si>
    <t>2260 kJ/kg is the latent heat of vaporization of water, assuming 70% efficiency</t>
  </si>
  <si>
    <t>industrial machine</t>
  </si>
  <si>
    <t>assumed same as dewatering of digestate before</t>
  </si>
  <si>
    <t>dried hydrochar</t>
  </si>
  <si>
    <t>(Initial_Hydrochar_Mass * (1 - Initial_Moisture_Content)) / (1 - Final_Moisture_Content)</t>
  </si>
  <si>
    <t>wastewater, average</t>
  </si>
  <si>
    <t>Dried Hydrochar Heat generation</t>
  </si>
  <si>
    <t>water, completely softened</t>
  </si>
  <si>
    <t>market for water, completely softened | water, completely softened | Cutoff, U - RoW</t>
  </si>
  <si>
    <t>industrial furnace, coal, 1-10MW</t>
  </si>
  <si>
    <t>market for industrial furnace, coal, 1-10MW | industrial furnace, coal, 1-10MW | Cutoff, U - GLO</t>
  </si>
  <si>
    <t>Heat generation from dried hydrochar</t>
  </si>
  <si>
    <t>heat, district or industrial, other than natural gas</t>
  </si>
  <si>
    <t>0 to avoid double counting as before</t>
  </si>
  <si>
    <t>hard coal ash</t>
  </si>
  <si>
    <t>Some emissions were removed since unlike hard coal, they are not present when combusting food wastes.</t>
  </si>
  <si>
    <t>market for hard coal ash | hard coal ash | Cutoff, U - RoW</t>
  </si>
  <si>
    <t>Acetylene</t>
  </si>
  <si>
    <t>All others were kept in same amount except for sulfur dioxide, where a mass balance was used to get actual emission factors since it impacts a lot the results</t>
  </si>
  <si>
    <t>Aluminium III</t>
  </si>
  <si>
    <t>Antimony ion</t>
  </si>
  <si>
    <t>Barium II</t>
  </si>
  <si>
    <t>Beryllium II</t>
  </si>
  <si>
    <t>Boron</t>
  </si>
  <si>
    <t>Bromine</t>
  </si>
  <si>
    <t>Cadmium II</t>
  </si>
  <si>
    <t>Calcium II</t>
  </si>
  <si>
    <t>Chromium III</t>
  </si>
  <si>
    <t>Chromium VI</t>
  </si>
  <si>
    <t>Cobalt II</t>
  </si>
  <si>
    <t>Copper ion</t>
  </si>
  <si>
    <t>Hydrocarbons, aliphatic, alkanes, unspecified</t>
  </si>
  <si>
    <t>Hydrocarbons, aliphatic, unsaturated</t>
  </si>
  <si>
    <t>Hydrochloric acid</t>
  </si>
  <si>
    <t>Hydrogen fluoride</t>
  </si>
  <si>
    <t>Iodine</t>
  </si>
  <si>
    <t>Iron ion</t>
  </si>
  <si>
    <t>Magnesium</t>
  </si>
  <si>
    <t>Manganese II</t>
  </si>
  <si>
    <t>Molybdenum VI</t>
  </si>
  <si>
    <t>Nickel II</t>
  </si>
  <si>
    <t>Particulate Matter, &gt; 10 um</t>
  </si>
  <si>
    <t>Particulate Matter, &gt; 2.5 um and &lt; 10um</t>
  </si>
  <si>
    <t>Phosphorus</t>
  </si>
  <si>
    <t>Potassium I</t>
  </si>
  <si>
    <t>Potassium-40</t>
  </si>
  <si>
    <t>kBq</t>
  </si>
  <si>
    <t>Scandium</t>
  </si>
  <si>
    <t>Selenium IV</t>
  </si>
  <si>
    <t>Silicon</t>
  </si>
  <si>
    <t>Sodium I</t>
  </si>
  <si>
    <t>Strontium II</t>
  </si>
  <si>
    <t>Thallium I</t>
  </si>
  <si>
    <t>Tin ion</t>
  </si>
  <si>
    <t>Titanium ion</t>
  </si>
  <si>
    <t>Vanadium V</t>
  </si>
  <si>
    <t>Water</t>
  </si>
  <si>
    <t>Zinc II</t>
  </si>
  <si>
    <t>NMVOC, non-methane volatile organic compounds</t>
  </si>
  <si>
    <t>Ethane</t>
  </si>
  <si>
    <t>Ethylene</t>
  </si>
  <si>
    <t>Propylene</t>
  </si>
  <si>
    <t>heat production, at hard coal industrial furnace 1-10MW | heat, district or industrial, other than natural gas | Cutoff, U</t>
  </si>
  <si>
    <t>hard coal</t>
  </si>
  <si>
    <t>market for hard coal | hard coal | Cutoff, U - RNA</t>
  </si>
  <si>
    <t>Arsenic ion</t>
  </si>
  <si>
    <t>Lead II</t>
  </si>
  <si>
    <t>Lead-210</t>
  </si>
  <si>
    <t>Polonium-210</t>
  </si>
  <si>
    <t>Radium-226</t>
  </si>
  <si>
    <t>Radium-228</t>
  </si>
  <si>
    <t>Radon-220</t>
  </si>
  <si>
    <t>Radon-222</t>
  </si>
  <si>
    <t>Thorium</t>
  </si>
  <si>
    <t>Thorium-228</t>
  </si>
  <si>
    <t>Thorium-232</t>
  </si>
  <si>
    <t>Uranium</t>
  </si>
  <si>
    <t>Uranium-238</t>
  </si>
  <si>
    <t>Xylenes, unspecified</t>
  </si>
  <si>
    <t>calculation like in previous sheet</t>
  </si>
  <si>
    <t>AD plant with methane recovery</t>
  </si>
  <si>
    <t>heat, central or small-scale, other than natural gas</t>
  </si>
  <si>
    <t>Biogas</t>
  </si>
  <si>
    <t>L</t>
  </si>
  <si>
    <t>Wastewater, average</t>
  </si>
  <si>
    <t>market for the market for wastewater, average | wastewater, average | Cutoff, U - CA-QC</t>
  </si>
  <si>
    <t>calculation for wastewater_water mass:</t>
  </si>
  <si>
    <t>biogas yield_PW_D1</t>
  </si>
  <si>
    <t>L biogas</t>
  </si>
  <si>
    <t xml:space="preserve">To get wastewater: mass of PW in - mass of biogas </t>
  </si>
  <si>
    <t>mass_PW</t>
  </si>
  <si>
    <t>moles_biogas</t>
  </si>
  <si>
    <t>M_biogas</t>
  </si>
  <si>
    <t>mass_biogas</t>
  </si>
  <si>
    <t>mass_wastewater</t>
  </si>
  <si>
    <t>PW_needed_for_1m3_biogas</t>
  </si>
  <si>
    <t>Biogas Upgrading 2</t>
  </si>
  <si>
    <t>Heat,district or industrial, natural gas (Substitution 2)</t>
  </si>
  <si>
    <t>SY_HTC_D2</t>
  </si>
  <si>
    <t>data, article</t>
  </si>
  <si>
    <t>LY_HTC_D2</t>
  </si>
  <si>
    <t>GY_HTC_D2</t>
  </si>
  <si>
    <t>moisture_content_HC_D2</t>
  </si>
  <si>
    <t xml:space="preserve">27 is the average HHV of coal for combustion </t>
  </si>
  <si>
    <t>COD_PW2_D2</t>
  </si>
  <si>
    <t>experimental data , article</t>
  </si>
  <si>
    <t>BMP_PW_D2</t>
  </si>
  <si>
    <t>experimental data , email</t>
  </si>
  <si>
    <t xml:space="preserve">D2- moisture content </t>
  </si>
  <si>
    <t>HHV D2-HC</t>
  </si>
  <si>
    <t>the inventory for the first 6 processes is the same as in the baseline</t>
  </si>
  <si>
    <t>solid wet digestate from AD</t>
  </si>
  <si>
    <t>dry digestate mass</t>
  </si>
  <si>
    <t>85% moisture content of D - FW2</t>
  </si>
  <si>
    <t>0.6–0.8 kWh/kg, Escala et al. (2013)</t>
  </si>
  <si>
    <t>Assuming that the hydrochar has to have a maximum of 10% moisture for combustion purposes</t>
  </si>
  <si>
    <t>biogas yield_PW_D2</t>
  </si>
  <si>
    <t>LR1</t>
  </si>
  <si>
    <t>LR1 moisture</t>
  </si>
  <si>
    <t>SY_HTC_LR1</t>
  </si>
  <si>
    <t>LY_HTC_LR1</t>
  </si>
  <si>
    <t>GY_HTC_LR1</t>
  </si>
  <si>
    <t>moisture_content_HC_LR1</t>
  </si>
  <si>
    <t>COD_PW2_LR1</t>
  </si>
  <si>
    <t>BMP_PW_LR1</t>
  </si>
  <si>
    <t>HHV-LR1-HC</t>
  </si>
  <si>
    <t>Treatment in Settling Tank (created Process)</t>
  </si>
  <si>
    <t>municipal solid waste</t>
  </si>
  <si>
    <t>Reject Valorization in HTC Process (created process)</t>
  </si>
  <si>
    <t xml:space="preserve">LR1 Valorization in HTC Process </t>
  </si>
  <si>
    <t>biogas yield_PW_FW1</t>
  </si>
  <si>
    <t>LR2</t>
  </si>
  <si>
    <t>assuming the LR1 is half of the total reject, so 0.1 still go to the treatment of MSW in sanitary landfill and 0.1 kg is valorized in HTC.</t>
  </si>
  <si>
    <t>LR2 moisture</t>
  </si>
  <si>
    <t>SY_HTC_LR2</t>
  </si>
  <si>
    <t>LY_HTC_LR2</t>
  </si>
  <si>
    <t>GY_HTC_LR2</t>
  </si>
  <si>
    <t>moisture_content_HC_LR2</t>
  </si>
  <si>
    <t>COD_PW2_LR2</t>
  </si>
  <si>
    <t>BMP_PW_LR2</t>
  </si>
  <si>
    <t>HHV LR2-HC</t>
  </si>
  <si>
    <t>no treatment, cz we assume disposed of in land with no concrete effect, left as is</t>
  </si>
  <si>
    <t>Tap water</t>
  </si>
  <si>
    <t xml:space="preserve">LR2 Valorization in HTC Process </t>
  </si>
  <si>
    <t>HR2</t>
  </si>
  <si>
    <t>HR2 moisture</t>
  </si>
  <si>
    <t>SY_HTC_HR2</t>
  </si>
  <si>
    <t>LY_HTC_HR2</t>
  </si>
  <si>
    <t>GY_HTC_HR2</t>
  </si>
  <si>
    <t>moisture_content_HC_HR2</t>
  </si>
  <si>
    <t>COD_PW2_HR2</t>
  </si>
  <si>
    <t>BMP_PW_HR2</t>
  </si>
  <si>
    <t>HHV-HR2-HC</t>
  </si>
  <si>
    <t>KG</t>
  </si>
  <si>
    <t xml:space="preserve">HR2 Valorization in HTC Process </t>
  </si>
  <si>
    <t>N content hydrochar</t>
  </si>
  <si>
    <t>P content hydrochar</t>
  </si>
  <si>
    <t>K content hydrochar</t>
  </si>
  <si>
    <t>ash hydrochar</t>
  </si>
  <si>
    <t>heat, district or inde, natural gas (Substitution 2)</t>
  </si>
  <si>
    <t>Substitution N fertilizer-Digestate</t>
  </si>
  <si>
    <t>Substitution P fertilizer-Digestate</t>
  </si>
  <si>
    <t>Substitution K fertilizer-Digestate</t>
  </si>
  <si>
    <t>Substitution N fertilizer-HC</t>
  </si>
  <si>
    <t>Substitution P fertilizer-HC</t>
  </si>
  <si>
    <t>Substitution K fertilizer-HC</t>
  </si>
  <si>
    <t>HHV LR2=HC</t>
  </si>
  <si>
    <t>HHC LR2=HC</t>
  </si>
  <si>
    <t>transport, freight, lorry 16-32 metric ton, EURO6</t>
  </si>
  <si>
    <t>t.km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</si>
</sst>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
  </numFmts>
  <fonts count="9">
    <font>
      <sz val="11"/>
      <color theme="1"/>
      <name val="Aptos Narrow"/>
      <family val="2"/>
      <scheme val="minor"/>
    </font>
    <font>
      <b/>
      <sz val="11"/>
      <color theme="1"/>
      <name val="Aptos Narrow"/>
      <family val="2"/>
      <scheme val="minor"/>
    </font>
    <font>
      <b/>
      <sz val="11"/>
      <color rgb="FFFF0000"/>
      <name val="Aptos Narrow"/>
      <family val="2"/>
      <scheme val="minor"/>
    </font>
    <font>
      <sz val="11"/>
      <color rgb="FFFF0000"/>
      <name val="Aptos Narrow"/>
      <family val="2"/>
      <scheme val="minor"/>
    </font>
    <font>
      <sz val="8"/>
      <name val="Aptos Narrow"/>
      <family val="2"/>
      <scheme val="minor"/>
    </font>
    <font>
      <sz val="11"/>
      <name val="Aptos Narrow"/>
      <family val="2"/>
      <scheme val="minor"/>
    </font>
    <font>
      <b/>
      <sz val="16"/>
      <color rgb="FFFF0000"/>
      <name val="Aptos Narrow"/>
      <family val="2"/>
      <scheme val="minor"/>
    </font>
    <font>
      <u/>
      <sz val="11"/>
      <color theme="10"/>
      <name val="Aptos Narrow"/>
      <family val="2"/>
      <scheme val="minor"/>
    </font>
    <font>
      <sz val="12"/>
      <color rgb="FF000000"/>
      <name val="Times New Roman"/>
      <family val="1"/>
    </font>
  </fonts>
  <fills count="12">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3" tint="0.749992370372631"/>
        <bgColor indexed="64"/>
      </patternFill>
    </fill>
  </fills>
  <borders count="3">
    <border>
      <left/>
      <right/>
      <top/>
      <bottom/>
      <diagonal/>
    </border>
    <border>
      <left/>
      <right/>
      <top style="thick">
        <color indexed="64"/>
      </top>
      <bottom/>
      <diagonal/>
    </border>
    <border>
      <left/>
      <right/>
      <top/>
      <bottom style="thick">
        <color indexed="64"/>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0" fontId="1" fillId="0" borderId="0" xfId="0" applyFont="1"/>
    <xf numFmtId="0" fontId="0" fillId="2" borderId="0" xfId="0" applyFill="1"/>
    <xf numFmtId="11" fontId="0" fillId="0" borderId="0" xfId="0" applyNumberFormat="1"/>
    <xf numFmtId="0" fontId="1" fillId="2" borderId="0" xfId="0" applyFont="1" applyFill="1"/>
    <xf numFmtId="11" fontId="0" fillId="2" borderId="0" xfId="0" applyNumberFormat="1" applyFill="1"/>
    <xf numFmtId="0" fontId="1" fillId="3" borderId="0" xfId="0" applyFont="1" applyFill="1"/>
    <xf numFmtId="0" fontId="2" fillId="4" borderId="0" xfId="0" applyFont="1" applyFill="1"/>
    <xf numFmtId="0" fontId="1" fillId="4" borderId="0" xfId="0" applyFont="1" applyFill="1"/>
    <xf numFmtId="0" fontId="0" fillId="4" borderId="0" xfId="0" applyFill="1"/>
    <xf numFmtId="0" fontId="2" fillId="5" borderId="0" xfId="0" applyFont="1" applyFill="1"/>
    <xf numFmtId="0" fontId="0" fillId="5" borderId="0" xfId="0" applyFill="1"/>
    <xf numFmtId="0" fontId="1" fillId="5" borderId="0" xfId="0" applyFont="1" applyFill="1"/>
    <xf numFmtId="0" fontId="3" fillId="5" borderId="0" xfId="0" applyFont="1" applyFill="1"/>
    <xf numFmtId="11" fontId="0" fillId="5" borderId="0" xfId="0" applyNumberFormat="1" applyFill="1"/>
    <xf numFmtId="0" fontId="1" fillId="6" borderId="0" xfId="0" applyFont="1" applyFill="1"/>
    <xf numFmtId="0" fontId="0" fillId="6" borderId="0" xfId="0" applyFill="1"/>
    <xf numFmtId="11" fontId="0" fillId="6" borderId="0" xfId="0" applyNumberFormat="1" applyFill="1"/>
    <xf numFmtId="0" fontId="1" fillId="7" borderId="0" xfId="0" applyFont="1" applyFill="1"/>
    <xf numFmtId="0" fontId="0" fillId="7" borderId="0" xfId="0" applyFill="1"/>
    <xf numFmtId="11" fontId="0" fillId="7" borderId="0" xfId="0" applyNumberFormat="1" applyFill="1"/>
    <xf numFmtId="0" fontId="1" fillId="8" borderId="0" xfId="0" applyFont="1" applyFill="1"/>
    <xf numFmtId="0" fontId="0" fillId="8" borderId="0" xfId="0" applyFill="1"/>
    <xf numFmtId="11" fontId="0" fillId="8" borderId="0" xfId="0" applyNumberFormat="1" applyFill="1"/>
    <xf numFmtId="0" fontId="1" fillId="9" borderId="0" xfId="0" applyFont="1" applyFill="1"/>
    <xf numFmtId="0" fontId="0" fillId="9" borderId="0" xfId="0" applyFill="1"/>
    <xf numFmtId="11" fontId="0" fillId="9" borderId="0" xfId="0" applyNumberFormat="1" applyFill="1"/>
    <xf numFmtId="0" fontId="1" fillId="10" borderId="0" xfId="0" applyFont="1" applyFill="1"/>
    <xf numFmtId="0" fontId="0" fillId="10" borderId="0" xfId="0" applyFill="1"/>
    <xf numFmtId="11" fontId="0" fillId="10" borderId="0" xfId="0" applyNumberFormat="1" applyFill="1"/>
    <xf numFmtId="0" fontId="2" fillId="6" borderId="0" xfId="0" applyFont="1" applyFill="1"/>
    <xf numFmtId="0" fontId="2" fillId="7" borderId="0" xfId="0" applyFont="1" applyFill="1"/>
    <xf numFmtId="0" fontId="2" fillId="8" borderId="0" xfId="0" applyFont="1" applyFill="1"/>
    <xf numFmtId="0" fontId="2" fillId="9" borderId="0" xfId="0" applyFont="1" applyFill="1"/>
    <xf numFmtId="0" fontId="2" fillId="10" borderId="0" xfId="0" applyFont="1" applyFill="1"/>
    <xf numFmtId="0" fontId="0" fillId="11" borderId="0" xfId="0" applyFill="1"/>
    <xf numFmtId="0" fontId="1" fillId="11" borderId="0" xfId="0" applyFont="1" applyFill="1"/>
    <xf numFmtId="11" fontId="5" fillId="10" borderId="0" xfId="0" applyNumberFormat="1" applyFont="1" applyFill="1"/>
    <xf numFmtId="0" fontId="3" fillId="8" borderId="0" xfId="0" applyFont="1" applyFill="1"/>
    <xf numFmtId="0" fontId="3" fillId="10" borderId="0" xfId="0" applyFont="1" applyFill="1"/>
    <xf numFmtId="0" fontId="6" fillId="2" borderId="0" xfId="0" applyFont="1" applyFill="1"/>
    <xf numFmtId="0" fontId="7" fillId="0" borderId="0" xfId="1"/>
    <xf numFmtId="0" fontId="3" fillId="11" borderId="0" xfId="0" applyFont="1" applyFill="1"/>
    <xf numFmtId="0" fontId="3" fillId="7" borderId="0" xfId="0" applyFont="1" applyFill="1"/>
    <xf numFmtId="0" fontId="7" fillId="6" borderId="0" xfId="1" applyFill="1"/>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11" fontId="0" fillId="4" borderId="0" xfId="0" applyNumberFormat="1" applyFill="1"/>
    <xf numFmtId="0" fontId="5" fillId="4" borderId="0" xfId="0" applyFont="1" applyFill="1"/>
    <xf numFmtId="11" fontId="5" fillId="4" borderId="0" xfId="0" applyNumberFormat="1" applyFont="1" applyFill="1"/>
    <xf numFmtId="11" fontId="3" fillId="8" borderId="0" xfId="0" applyNumberFormat="1" applyFont="1" applyFill="1"/>
    <xf numFmtId="164" fontId="0" fillId="5" borderId="0" xfId="0" applyNumberFormat="1" applyFill="1"/>
    <xf numFmtId="165" fontId="0" fillId="5" borderId="0" xfId="0" applyNumberFormat="1" applyFill="1"/>
    <xf numFmtId="164" fontId="0" fillId="10" borderId="0" xfId="0" applyNumberFormat="1" applyFill="1"/>
    <xf numFmtId="165" fontId="0" fillId="10" borderId="0" xfId="0" applyNumberFormat="1" applyFill="1"/>
    <xf numFmtId="2" fontId="0" fillId="5" borderId="0" xfId="0" applyNumberFormat="1" applyFill="1"/>
    <xf numFmtId="2" fontId="0" fillId="9" borderId="0" xfId="0" applyNumberFormat="1" applyFill="1"/>
    <xf numFmtId="0" fontId="7" fillId="7" borderId="0" xfId="1" applyFill="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7</xdr:col>
      <xdr:colOff>332200</xdr:colOff>
      <xdr:row>2</xdr:row>
      <xdr:rowOff>121227</xdr:rowOff>
    </xdr:from>
    <xdr:to>
      <xdr:col>10</xdr:col>
      <xdr:colOff>9131301</xdr:colOff>
      <xdr:row>39</xdr:row>
      <xdr:rowOff>92198</xdr:rowOff>
    </xdr:to>
    <xdr:pic>
      <xdr:nvPicPr>
        <xdr:cNvPr id="3" name="Picture 2">
          <a:extLst>
            <a:ext uri="{FF2B5EF4-FFF2-40B4-BE49-F238E27FC236}">
              <a16:creationId xmlns:a16="http://schemas.microsoft.com/office/drawing/2014/main" id="{F5B93ACE-86B3-C256-FF5F-2975F38074F6}"/>
            </a:ext>
          </a:extLst>
        </xdr:cNvPr>
        <xdr:cNvPicPr>
          <a:picLocks noChangeAspect="1"/>
        </xdr:cNvPicPr>
      </xdr:nvPicPr>
      <xdr:blipFill>
        <a:blip xmlns:r="http://schemas.openxmlformats.org/officeDocument/2006/relationships" r:embed="rId1"/>
        <a:stretch>
          <a:fillRect/>
        </a:stretch>
      </xdr:blipFill>
      <xdr:spPr>
        <a:xfrm>
          <a:off x="38189745" y="467591"/>
          <a:ext cx="11812465" cy="63786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27</xdr:col>
      <xdr:colOff>316834</xdr:colOff>
      <xdr:row>67</xdr:row>
      <xdr:rowOff>142890</xdr:rowOff>
    </xdr:to>
    <xdr:pic>
      <xdr:nvPicPr>
        <xdr:cNvPr id="2" name="Picture 1">
          <a:extLst>
            <a:ext uri="{FF2B5EF4-FFF2-40B4-BE49-F238E27FC236}">
              <a16:creationId xmlns:a16="http://schemas.microsoft.com/office/drawing/2014/main" id="{93FB25AC-94E7-4F05-29D2-77DDA971425F}"/>
            </a:ext>
          </a:extLst>
        </xdr:cNvPr>
        <xdr:cNvPicPr>
          <a:picLocks noChangeAspect="1"/>
        </xdr:cNvPicPr>
      </xdr:nvPicPr>
      <xdr:blipFill>
        <a:blip xmlns:r="http://schemas.openxmlformats.org/officeDocument/2006/relationships" r:embed="rId1"/>
        <a:stretch>
          <a:fillRect/>
        </a:stretch>
      </xdr:blipFill>
      <xdr:spPr>
        <a:xfrm>
          <a:off x="25146000" y="0"/>
          <a:ext cx="13965599" cy="12155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28</xdr:col>
      <xdr:colOff>114630</xdr:colOff>
      <xdr:row>71</xdr:row>
      <xdr:rowOff>25873</xdr:rowOff>
    </xdr:to>
    <xdr:pic>
      <xdr:nvPicPr>
        <xdr:cNvPr id="2" name="Picture 1">
          <a:extLst>
            <a:ext uri="{FF2B5EF4-FFF2-40B4-BE49-F238E27FC236}">
              <a16:creationId xmlns:a16="http://schemas.microsoft.com/office/drawing/2014/main" id="{C038B9AA-3179-83C7-D833-7A3F746B8776}"/>
            </a:ext>
          </a:extLst>
        </xdr:cNvPr>
        <xdr:cNvPicPr>
          <a:picLocks noChangeAspect="1"/>
        </xdr:cNvPicPr>
      </xdr:nvPicPr>
      <xdr:blipFill>
        <a:blip xmlns:r="http://schemas.openxmlformats.org/officeDocument/2006/relationships" r:embed="rId1"/>
        <a:stretch>
          <a:fillRect/>
        </a:stretch>
      </xdr:blipFill>
      <xdr:spPr>
        <a:xfrm>
          <a:off x="25146000" y="0"/>
          <a:ext cx="14413336" cy="127557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28</xdr:col>
      <xdr:colOff>333736</xdr:colOff>
      <xdr:row>69</xdr:row>
      <xdr:rowOff>117724</xdr:rowOff>
    </xdr:to>
    <xdr:pic>
      <xdr:nvPicPr>
        <xdr:cNvPr id="2" name="Picture 1">
          <a:extLst>
            <a:ext uri="{FF2B5EF4-FFF2-40B4-BE49-F238E27FC236}">
              <a16:creationId xmlns:a16="http://schemas.microsoft.com/office/drawing/2014/main" id="{A86CA874-657E-01B1-6414-2571987ED584}"/>
            </a:ext>
          </a:extLst>
        </xdr:cNvPr>
        <xdr:cNvPicPr>
          <a:picLocks noChangeAspect="1"/>
        </xdr:cNvPicPr>
      </xdr:nvPicPr>
      <xdr:blipFill>
        <a:blip xmlns:r="http://schemas.openxmlformats.org/officeDocument/2006/relationships" r:embed="rId1"/>
        <a:stretch>
          <a:fillRect/>
        </a:stretch>
      </xdr:blipFill>
      <xdr:spPr>
        <a:xfrm>
          <a:off x="25146000" y="0"/>
          <a:ext cx="14632442" cy="12489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10</xdr:col>
      <xdr:colOff>8334992</xdr:colOff>
      <xdr:row>35</xdr:row>
      <xdr:rowOff>33717</xdr:rowOff>
    </xdr:to>
    <xdr:pic>
      <xdr:nvPicPr>
        <xdr:cNvPr id="2" name="Picture 1">
          <a:extLst>
            <a:ext uri="{FF2B5EF4-FFF2-40B4-BE49-F238E27FC236}">
              <a16:creationId xmlns:a16="http://schemas.microsoft.com/office/drawing/2014/main" id="{B8AF0209-536C-C7B4-F464-F172821CCA7F}"/>
            </a:ext>
          </a:extLst>
        </xdr:cNvPr>
        <xdr:cNvPicPr>
          <a:picLocks noChangeAspect="1"/>
        </xdr:cNvPicPr>
      </xdr:nvPicPr>
      <xdr:blipFill>
        <a:blip xmlns:r="http://schemas.openxmlformats.org/officeDocument/2006/relationships" r:embed="rId1"/>
        <a:stretch>
          <a:fillRect/>
        </a:stretch>
      </xdr:blipFill>
      <xdr:spPr>
        <a:xfrm>
          <a:off x="20544897" y="0"/>
          <a:ext cx="12012701" cy="65160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34</xdr:col>
      <xdr:colOff>88268</xdr:colOff>
      <xdr:row>40</xdr:row>
      <xdr:rowOff>105800</xdr:rowOff>
    </xdr:to>
    <xdr:pic>
      <xdr:nvPicPr>
        <xdr:cNvPr id="3" name="Picture 2">
          <a:extLst>
            <a:ext uri="{FF2B5EF4-FFF2-40B4-BE49-F238E27FC236}">
              <a16:creationId xmlns:a16="http://schemas.microsoft.com/office/drawing/2014/main" id="{7B85CFFE-7C0C-129B-03B0-788770BBB31B}"/>
            </a:ext>
          </a:extLst>
        </xdr:cNvPr>
        <xdr:cNvPicPr>
          <a:picLocks noChangeAspect="1"/>
        </xdr:cNvPicPr>
      </xdr:nvPicPr>
      <xdr:blipFill>
        <a:blip xmlns:r="http://schemas.openxmlformats.org/officeDocument/2006/relationships" r:embed="rId1"/>
        <a:stretch>
          <a:fillRect/>
        </a:stretch>
      </xdr:blipFill>
      <xdr:spPr>
        <a:xfrm>
          <a:off x="22917150" y="0"/>
          <a:ext cx="18223868" cy="734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37</xdr:col>
      <xdr:colOff>387327</xdr:colOff>
      <xdr:row>45</xdr:row>
      <xdr:rowOff>179124</xdr:rowOff>
    </xdr:to>
    <xdr:pic>
      <xdr:nvPicPr>
        <xdr:cNvPr id="3" name="Picture 2">
          <a:extLst>
            <a:ext uri="{FF2B5EF4-FFF2-40B4-BE49-F238E27FC236}">
              <a16:creationId xmlns:a16="http://schemas.microsoft.com/office/drawing/2014/main" id="{FA9C39DB-4EEA-A0CE-C32B-E17BA2C48D14}"/>
            </a:ext>
          </a:extLst>
        </xdr:cNvPr>
        <xdr:cNvPicPr>
          <a:picLocks noChangeAspect="1"/>
        </xdr:cNvPicPr>
      </xdr:nvPicPr>
      <xdr:blipFill>
        <a:blip xmlns:r="http://schemas.openxmlformats.org/officeDocument/2006/relationships" r:embed="rId1"/>
        <a:stretch>
          <a:fillRect/>
        </a:stretch>
      </xdr:blipFill>
      <xdr:spPr>
        <a:xfrm>
          <a:off x="39507102" y="0"/>
          <a:ext cx="20519714" cy="845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26</xdr:col>
      <xdr:colOff>291067</xdr:colOff>
      <xdr:row>64</xdr:row>
      <xdr:rowOff>102969</xdr:rowOff>
    </xdr:to>
    <xdr:pic>
      <xdr:nvPicPr>
        <xdr:cNvPr id="3" name="Picture 2">
          <a:extLst>
            <a:ext uri="{FF2B5EF4-FFF2-40B4-BE49-F238E27FC236}">
              <a16:creationId xmlns:a16="http://schemas.microsoft.com/office/drawing/2014/main" id="{0318CE8C-6624-D72B-D7B2-498B7F6877B2}"/>
            </a:ext>
          </a:extLst>
        </xdr:cNvPr>
        <xdr:cNvPicPr>
          <a:picLocks noChangeAspect="1"/>
        </xdr:cNvPicPr>
      </xdr:nvPicPr>
      <xdr:blipFill>
        <a:blip xmlns:r="http://schemas.openxmlformats.org/officeDocument/2006/relationships" r:embed="rId1"/>
        <a:stretch>
          <a:fillRect/>
        </a:stretch>
      </xdr:blipFill>
      <xdr:spPr>
        <a:xfrm>
          <a:off x="21139007" y="0"/>
          <a:ext cx="13279703" cy="118793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27</xdr:col>
      <xdr:colOff>592529</xdr:colOff>
      <xdr:row>69</xdr:row>
      <xdr:rowOff>103816</xdr:rowOff>
    </xdr:to>
    <xdr:pic>
      <xdr:nvPicPr>
        <xdr:cNvPr id="3" name="Picture 2">
          <a:extLst>
            <a:ext uri="{FF2B5EF4-FFF2-40B4-BE49-F238E27FC236}">
              <a16:creationId xmlns:a16="http://schemas.microsoft.com/office/drawing/2014/main" id="{804B911D-0021-97D0-D3C9-A521A4C8E7A1}"/>
            </a:ext>
          </a:extLst>
        </xdr:cNvPr>
        <xdr:cNvPicPr>
          <a:picLocks noChangeAspect="1"/>
        </xdr:cNvPicPr>
      </xdr:nvPicPr>
      <xdr:blipFill>
        <a:blip xmlns:r="http://schemas.openxmlformats.org/officeDocument/2006/relationships" r:embed="rId1"/>
        <a:stretch>
          <a:fillRect/>
        </a:stretch>
      </xdr:blipFill>
      <xdr:spPr>
        <a:xfrm>
          <a:off x="25139198" y="0"/>
          <a:ext cx="14165652" cy="1262238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28</xdr:col>
      <xdr:colOff>50978</xdr:colOff>
      <xdr:row>68</xdr:row>
      <xdr:rowOff>26240</xdr:rowOff>
    </xdr:to>
    <xdr:pic>
      <xdr:nvPicPr>
        <xdr:cNvPr id="2" name="Picture 1">
          <a:extLst>
            <a:ext uri="{FF2B5EF4-FFF2-40B4-BE49-F238E27FC236}">
              <a16:creationId xmlns:a16="http://schemas.microsoft.com/office/drawing/2014/main" id="{B7E4D15C-B9F3-C2D1-C9D6-71E2FB7BB780}"/>
            </a:ext>
          </a:extLst>
        </xdr:cNvPr>
        <xdr:cNvPicPr>
          <a:picLocks noChangeAspect="1"/>
        </xdr:cNvPicPr>
      </xdr:nvPicPr>
      <xdr:blipFill>
        <a:blip xmlns:r="http://schemas.openxmlformats.org/officeDocument/2006/relationships" r:embed="rId1"/>
        <a:stretch>
          <a:fillRect/>
        </a:stretch>
      </xdr:blipFill>
      <xdr:spPr>
        <a:xfrm>
          <a:off x="25146000" y="0"/>
          <a:ext cx="14270442" cy="125175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34</xdr:col>
      <xdr:colOff>212105</xdr:colOff>
      <xdr:row>47</xdr:row>
      <xdr:rowOff>44753</xdr:rowOff>
    </xdr:to>
    <xdr:pic>
      <xdr:nvPicPr>
        <xdr:cNvPr id="2" name="Picture 1">
          <a:extLst>
            <a:ext uri="{FF2B5EF4-FFF2-40B4-BE49-F238E27FC236}">
              <a16:creationId xmlns:a16="http://schemas.microsoft.com/office/drawing/2014/main" id="{5332FB08-A1EF-09C5-B3EE-606FAA2BDEE9}"/>
            </a:ext>
          </a:extLst>
        </xdr:cNvPr>
        <xdr:cNvPicPr>
          <a:picLocks noChangeAspect="1"/>
        </xdr:cNvPicPr>
      </xdr:nvPicPr>
      <xdr:blipFill>
        <a:blip xmlns:r="http://schemas.openxmlformats.org/officeDocument/2006/relationships" r:embed="rId1"/>
        <a:stretch>
          <a:fillRect/>
        </a:stretch>
      </xdr:blipFill>
      <xdr:spPr>
        <a:xfrm>
          <a:off x="22907626" y="0"/>
          <a:ext cx="18309605" cy="86784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34</xdr:col>
      <xdr:colOff>232152</xdr:colOff>
      <xdr:row>45</xdr:row>
      <xdr:rowOff>177864</xdr:rowOff>
    </xdr:to>
    <xdr:pic>
      <xdr:nvPicPr>
        <xdr:cNvPr id="2" name="Picture 1">
          <a:extLst>
            <a:ext uri="{FF2B5EF4-FFF2-40B4-BE49-F238E27FC236}">
              <a16:creationId xmlns:a16="http://schemas.microsoft.com/office/drawing/2014/main" id="{B828BFF6-4F03-02B8-8BCB-03C7E9EAA065}"/>
            </a:ext>
          </a:extLst>
        </xdr:cNvPr>
        <xdr:cNvPicPr>
          <a:picLocks noChangeAspect="1"/>
        </xdr:cNvPicPr>
      </xdr:nvPicPr>
      <xdr:blipFill>
        <a:blip xmlns:r="http://schemas.openxmlformats.org/officeDocument/2006/relationships" r:embed="rId1"/>
        <a:stretch>
          <a:fillRect/>
        </a:stretch>
      </xdr:blipFill>
      <xdr:spPr>
        <a:xfrm>
          <a:off x="22909267" y="0"/>
          <a:ext cx="18395342" cy="83069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hyperlink" Target="https://biogasworld.com/fr/product/gestion-du-digestat/deshydratation-du-digestat/pressoir-rotatif-fourni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cleanwaterservices.org/wp-content/uploads/2022/10/TM12_SolidsCapacityEval_Final.pdf" TargetMode="External"/><Relationship Id="rId1" Type="http://schemas.openxmlformats.org/officeDocument/2006/relationships/hyperlink" Target="https://biogasworld.com/fr/product/gestion-du-digestat/deshydratation-du-digestat/pressoir-rotatif-fournie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biogasworld.com/fr/product/gestion-du-digestat/deshydratation-du-digestat/pressoir-rotatif-fourni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cleanwaterservices.org/wp-content/uploads/2022/10/TM12_SolidsCapacityEval_Final.pdf" TargetMode="External"/><Relationship Id="rId1" Type="http://schemas.openxmlformats.org/officeDocument/2006/relationships/hyperlink" Target="https://biogasworld.com/fr/product/gestion-du-digestat/deshydratation-du-digestat/pressoir-rotatif-fournie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biogasworld.com/fr/product/gestion-du-digestat/deshydratation-du-digestat/pressoir-rotatif-fourni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807C-CA5D-4A6B-BB74-E2DD5DD3E35D}">
  <dimension ref="A1:A8"/>
  <sheetViews>
    <sheetView tabSelected="1" zoomScale="97" zoomScaleNormal="115" workbookViewId="0">
      <selection activeCell="F5" sqref="F5"/>
    </sheetView>
  </sheetViews>
  <sheetFormatPr baseColWidth="10" defaultColWidth="9" defaultRowHeight="14.25"/>
  <sheetData>
    <row r="1" spans="1:1">
      <c r="A1" t="s">
        <v>0</v>
      </c>
    </row>
    <row r="2" spans="1:1">
      <c r="A2" t="s">
        <v>1</v>
      </c>
    </row>
    <row r="4" spans="1:1">
      <c r="A4" t="s">
        <v>2</v>
      </c>
    </row>
    <row r="6" spans="1:1">
      <c r="A6" t="s">
        <v>3</v>
      </c>
    </row>
    <row r="7" spans="1:1">
      <c r="A7" t="s">
        <v>4</v>
      </c>
    </row>
    <row r="8" spans="1:1">
      <c r="A8" t="s">
        <v>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6364A-30C9-4AD5-8D88-67DF3729A536}">
  <dimension ref="A1:F202"/>
  <sheetViews>
    <sheetView topLeftCell="A124" zoomScale="29" zoomScaleNormal="100" workbookViewId="0">
      <selection activeCell="G1" sqref="G1"/>
    </sheetView>
  </sheetViews>
  <sheetFormatPr baseColWidth="10" defaultColWidth="9" defaultRowHeight="14.25"/>
  <cols>
    <col min="1" max="1" width="46.75" customWidth="1"/>
    <col min="2" max="2" width="79" customWidth="1"/>
    <col min="3" max="3" width="21.75" customWidth="1"/>
    <col min="4" max="4" width="28" customWidth="1"/>
    <col min="5" max="5" width="99.75" bestFit="1" customWidth="1"/>
    <col min="6" max="6" width="45.375" customWidth="1"/>
  </cols>
  <sheetData>
    <row r="1" spans="1:6" ht="15">
      <c r="A1" s="6" t="s">
        <v>6</v>
      </c>
      <c r="B1" s="6" t="s">
        <v>7</v>
      </c>
      <c r="C1" s="6" t="s">
        <v>8</v>
      </c>
      <c r="D1" s="6" t="s">
        <v>9</v>
      </c>
      <c r="E1" s="6" t="s">
        <v>10</v>
      </c>
      <c r="F1" s="6" t="s">
        <v>11</v>
      </c>
    </row>
    <row r="3" spans="1:6" ht="15">
      <c r="A3" s="36" t="s">
        <v>159</v>
      </c>
      <c r="B3" s="35"/>
      <c r="C3" s="35"/>
      <c r="D3" s="35"/>
      <c r="E3" s="35"/>
      <c r="F3" s="35"/>
    </row>
    <row r="4" spans="1:6">
      <c r="A4" s="35" t="s">
        <v>160</v>
      </c>
      <c r="B4" s="35">
        <v>1.2210000000000001</v>
      </c>
      <c r="C4" s="35" t="s">
        <v>17</v>
      </c>
      <c r="D4" s="35"/>
      <c r="E4" s="35"/>
      <c r="F4" s="35"/>
    </row>
    <row r="5" spans="1:6">
      <c r="A5" s="42" t="s">
        <v>305</v>
      </c>
      <c r="B5" s="35">
        <v>0.44500000000000001</v>
      </c>
      <c r="C5" s="35"/>
      <c r="D5" s="35" t="s">
        <v>306</v>
      </c>
      <c r="E5" s="35"/>
      <c r="F5" s="35"/>
    </row>
    <row r="6" spans="1:6">
      <c r="A6" s="42" t="s">
        <v>307</v>
      </c>
      <c r="B6" s="35">
        <v>0.52800000000000002</v>
      </c>
      <c r="C6" s="35"/>
      <c r="D6" s="35" t="s">
        <v>306</v>
      </c>
      <c r="E6" s="35"/>
      <c r="F6" s="35"/>
    </row>
    <row r="7" spans="1:6">
      <c r="A7" s="42" t="s">
        <v>308</v>
      </c>
      <c r="B7" s="35">
        <v>2.5999999999999999E-2</v>
      </c>
      <c r="C7" s="35"/>
      <c r="D7" s="35" t="s">
        <v>306</v>
      </c>
      <c r="E7" s="35"/>
      <c r="F7" s="35"/>
    </row>
    <row r="8" spans="1:6">
      <c r="A8" s="42" t="s">
        <v>309</v>
      </c>
      <c r="B8" s="35">
        <v>0.82199999999999995</v>
      </c>
      <c r="C8" s="35"/>
      <c r="D8" s="35" t="s">
        <v>306</v>
      </c>
      <c r="E8" s="35"/>
      <c r="F8" s="35"/>
    </row>
    <row r="9" spans="1:6">
      <c r="A9" s="35" t="s">
        <v>166</v>
      </c>
      <c r="B9" s="35">
        <v>4.3249999999999997E-2</v>
      </c>
      <c r="C9" s="35" t="s">
        <v>14</v>
      </c>
      <c r="D9" s="35" t="s">
        <v>167</v>
      </c>
      <c r="E9" s="35"/>
      <c r="F9" s="35"/>
    </row>
    <row r="10" spans="1:6">
      <c r="A10" s="42" t="s">
        <v>311</v>
      </c>
      <c r="B10" s="35">
        <f>25.4*4</f>
        <v>101.6</v>
      </c>
      <c r="C10" s="35" t="s">
        <v>171</v>
      </c>
      <c r="D10" s="35" t="s">
        <v>312</v>
      </c>
      <c r="E10" s="35"/>
      <c r="F10" s="35"/>
    </row>
    <row r="11" spans="1:6">
      <c r="A11" s="42" t="s">
        <v>313</v>
      </c>
      <c r="B11" s="35">
        <v>0.28039999999999998</v>
      </c>
      <c r="C11" s="35" t="s">
        <v>174</v>
      </c>
      <c r="D11" s="35" t="s">
        <v>314</v>
      </c>
      <c r="E11" s="35"/>
      <c r="F11" s="35"/>
    </row>
    <row r="12" spans="1:6">
      <c r="A12" s="35" t="s">
        <v>22</v>
      </c>
      <c r="B12" s="35">
        <v>1.53579</v>
      </c>
      <c r="C12" s="35" t="s">
        <v>23</v>
      </c>
      <c r="D12" s="35"/>
      <c r="E12" s="35"/>
      <c r="F12" s="35"/>
    </row>
    <row r="13" spans="1:6">
      <c r="A13" s="35" t="s">
        <v>24</v>
      </c>
      <c r="B13" s="35">
        <v>2.513E-2</v>
      </c>
      <c r="C13" s="35" t="s">
        <v>23</v>
      </c>
      <c r="D13" s="35"/>
      <c r="E13" s="35"/>
      <c r="F13" s="35"/>
    </row>
    <row r="14" spans="1:6">
      <c r="A14" s="35" t="s">
        <v>315</v>
      </c>
      <c r="B14" s="35">
        <v>0.85</v>
      </c>
      <c r="C14" s="35"/>
      <c r="D14" s="35"/>
      <c r="E14" s="35"/>
      <c r="F14" s="35"/>
    </row>
    <row r="15" spans="1:6">
      <c r="A15" s="35" t="s">
        <v>316</v>
      </c>
      <c r="B15" s="35">
        <v>20.7</v>
      </c>
      <c r="C15" s="35"/>
      <c r="D15" s="35"/>
      <c r="E15" s="35"/>
      <c r="F15" s="35"/>
    </row>
    <row r="16" spans="1:6">
      <c r="A16" s="35" t="s">
        <v>362</v>
      </c>
      <c r="B16" s="35">
        <f>1.9/100</f>
        <v>1.9E-2</v>
      </c>
      <c r="C16" s="35"/>
      <c r="D16" s="35" t="s">
        <v>172</v>
      </c>
      <c r="E16" s="35"/>
      <c r="F16" s="35"/>
    </row>
    <row r="17" spans="1:6">
      <c r="A17" s="35" t="s">
        <v>363</v>
      </c>
      <c r="B17" s="35">
        <f>6.5/100</f>
        <v>6.5000000000000002E-2</v>
      </c>
      <c r="C17" s="35"/>
      <c r="D17" s="35" t="s">
        <v>172</v>
      </c>
      <c r="E17" s="35"/>
      <c r="F17" s="35"/>
    </row>
    <row r="18" spans="1:6">
      <c r="A18" s="35" t="s">
        <v>364</v>
      </c>
      <c r="B18" s="35">
        <f>1.9/100</f>
        <v>1.9E-2</v>
      </c>
      <c r="C18" s="35"/>
      <c r="D18" s="35" t="s">
        <v>172</v>
      </c>
      <c r="E18" s="35"/>
      <c r="F18" s="35"/>
    </row>
    <row r="19" spans="1:6">
      <c r="A19" s="35" t="s">
        <v>365</v>
      </c>
      <c r="B19" s="35">
        <v>3.2000000000000001E-2</v>
      </c>
      <c r="C19" s="35"/>
      <c r="D19" s="35"/>
      <c r="E19" s="35"/>
      <c r="F19" s="35"/>
    </row>
    <row r="20" spans="1:6">
      <c r="A20" s="35" t="s">
        <v>39</v>
      </c>
      <c r="B20" s="35">
        <v>142</v>
      </c>
      <c r="C20" s="35" t="s">
        <v>40</v>
      </c>
      <c r="D20" s="35"/>
      <c r="E20" s="35"/>
      <c r="F20" s="35"/>
    </row>
    <row r="21" spans="1:6">
      <c r="A21" s="35" t="s">
        <v>41</v>
      </c>
      <c r="B21" s="35">
        <f>39*2+16</f>
        <v>94</v>
      </c>
      <c r="C21" s="35" t="s">
        <v>40</v>
      </c>
      <c r="D21" s="35"/>
      <c r="E21" s="35"/>
      <c r="F21" s="35"/>
    </row>
    <row r="23" spans="1:6" ht="15">
      <c r="A23" s="34" t="s">
        <v>178</v>
      </c>
      <c r="B23" s="28"/>
      <c r="C23" s="28"/>
      <c r="D23" s="28"/>
      <c r="E23" s="28"/>
      <c r="F23" s="28"/>
    </row>
    <row r="24" spans="1:6" ht="15">
      <c r="A24" s="27" t="s">
        <v>44</v>
      </c>
      <c r="B24" s="28"/>
      <c r="C24" s="28"/>
      <c r="D24" s="28"/>
      <c r="E24" s="28"/>
      <c r="F24" s="28"/>
    </row>
    <row r="25" spans="1:6">
      <c r="A25" s="28" t="s">
        <v>45</v>
      </c>
      <c r="B25" s="28">
        <v>1</v>
      </c>
      <c r="C25" s="28" t="s">
        <v>46</v>
      </c>
      <c r="D25" s="28"/>
      <c r="E25" s="28"/>
      <c r="F25" s="28"/>
    </row>
    <row r="26" spans="1:6">
      <c r="A26" s="28" t="s">
        <v>47</v>
      </c>
      <c r="B26" s="28">
        <v>0.15650723831737146</v>
      </c>
      <c r="C26" s="28" t="s">
        <v>46</v>
      </c>
      <c r="D26" s="28"/>
      <c r="E26" s="28"/>
      <c r="F26" s="28"/>
    </row>
    <row r="27" spans="1:6">
      <c r="A27" s="28" t="s">
        <v>48</v>
      </c>
      <c r="B27" s="28">
        <v>1</v>
      </c>
      <c r="C27" s="28" t="s">
        <v>46</v>
      </c>
      <c r="D27" s="28"/>
      <c r="E27" s="28"/>
      <c r="F27" s="28"/>
    </row>
    <row r="28" spans="1:6">
      <c r="A28" s="28" t="s">
        <v>49</v>
      </c>
      <c r="B28" s="28">
        <v>6.2279044296606232</v>
      </c>
      <c r="C28" s="28" t="s">
        <v>46</v>
      </c>
      <c r="D28" s="28"/>
      <c r="E28" s="28"/>
      <c r="F28" s="28"/>
    </row>
    <row r="29" spans="1:6">
      <c r="A29" s="28" t="s">
        <v>51</v>
      </c>
      <c r="B29" s="28">
        <v>-6.2279044296606232</v>
      </c>
      <c r="C29" s="28" t="s">
        <v>50</v>
      </c>
      <c r="D29" s="28"/>
      <c r="E29" s="28"/>
      <c r="F29" s="28" t="s">
        <v>52</v>
      </c>
    </row>
    <row r="30" spans="1:6">
      <c r="A30" s="28" t="s">
        <v>53</v>
      </c>
      <c r="B30" s="28">
        <v>1</v>
      </c>
      <c r="C30" s="28" t="s">
        <v>46</v>
      </c>
      <c r="D30" s="28"/>
      <c r="E30" s="28"/>
      <c r="F30" s="28"/>
    </row>
    <row r="31" spans="1:6">
      <c r="A31" s="28" t="s">
        <v>179</v>
      </c>
      <c r="B31" s="28">
        <v>1</v>
      </c>
      <c r="C31" s="28" t="s">
        <v>46</v>
      </c>
      <c r="D31" s="28"/>
      <c r="E31" s="28"/>
      <c r="F31" s="28"/>
    </row>
    <row r="32" spans="1:6">
      <c r="A32" s="28" t="s">
        <v>180</v>
      </c>
      <c r="B32" s="28">
        <v>1</v>
      </c>
      <c r="C32" s="28" t="s">
        <v>46</v>
      </c>
      <c r="D32" s="28"/>
      <c r="E32" s="28"/>
      <c r="F32" s="28"/>
    </row>
    <row r="33" spans="1:6">
      <c r="A33" s="28" t="s">
        <v>184</v>
      </c>
      <c r="B33" s="28">
        <v>1</v>
      </c>
      <c r="C33" s="28" t="s">
        <v>46</v>
      </c>
      <c r="D33" s="28"/>
      <c r="E33" s="28"/>
      <c r="F33" s="28"/>
    </row>
    <row r="34" spans="1:6">
      <c r="A34" s="28" t="s">
        <v>185</v>
      </c>
      <c r="B34" s="29">
        <f>(B80/1000)/B12</f>
        <v>9.735496836728981E-3</v>
      </c>
      <c r="C34" s="28" t="s">
        <v>46</v>
      </c>
      <c r="D34" s="28"/>
      <c r="E34" s="28"/>
      <c r="F34" s="28"/>
    </row>
    <row r="35" spans="1:6">
      <c r="A35" s="28" t="s">
        <v>186</v>
      </c>
      <c r="B35" s="29">
        <f>B34/B13</f>
        <v>0.3874053655682046</v>
      </c>
      <c r="C35" s="28" t="s">
        <v>46</v>
      </c>
      <c r="D35" s="28"/>
      <c r="E35" s="28"/>
      <c r="F35" s="28"/>
    </row>
    <row r="36" spans="1:6">
      <c r="A36" s="28" t="s">
        <v>187</v>
      </c>
      <c r="B36" s="29">
        <f>-B35</f>
        <v>-0.3874053655682046</v>
      </c>
      <c r="C36" s="28" t="s">
        <v>50</v>
      </c>
      <c r="D36" s="28"/>
      <c r="E36" s="28"/>
      <c r="F36" s="28" t="s">
        <v>52</v>
      </c>
    </row>
    <row r="37" spans="1:6">
      <c r="A37" s="28" t="s">
        <v>55</v>
      </c>
      <c r="B37" s="29">
        <f>-$B$68*0.9*B17</f>
        <v>-2.1997462500000006E-3</v>
      </c>
      <c r="C37" s="28" t="s">
        <v>14</v>
      </c>
      <c r="D37" s="28"/>
      <c r="E37" s="28"/>
      <c r="F37" s="28" t="s">
        <v>56</v>
      </c>
    </row>
    <row r="38" spans="1:6">
      <c r="A38" s="28" t="s">
        <v>57</v>
      </c>
      <c r="B38" s="29">
        <f>-B68*0.9*B19*B17*(B20/62)</f>
        <v>-1.6122011225806453E-4</v>
      </c>
      <c r="C38" s="28" t="s">
        <v>14</v>
      </c>
      <c r="D38" s="28"/>
      <c r="E38" s="28"/>
      <c r="F38" s="28" t="s">
        <v>58</v>
      </c>
    </row>
    <row r="39" spans="1:6">
      <c r="A39" s="28" t="s">
        <v>59</v>
      </c>
      <c r="B39" s="29">
        <f>-B68*0.9*B19*B18*(B21/78)</f>
        <v>-2.4796824000000002E-5</v>
      </c>
      <c r="C39" s="28" t="s">
        <v>14</v>
      </c>
      <c r="D39" s="28"/>
      <c r="E39" s="28"/>
      <c r="F39" s="28" t="s">
        <v>60</v>
      </c>
    </row>
    <row r="40" spans="1:6">
      <c r="A40" s="28"/>
      <c r="B40" s="28"/>
      <c r="C40" s="28"/>
      <c r="D40" s="28"/>
      <c r="E40" s="28"/>
      <c r="F40" s="28"/>
    </row>
    <row r="41" spans="1:6" ht="15">
      <c r="A41" s="27" t="s">
        <v>61</v>
      </c>
      <c r="B41" s="28"/>
      <c r="C41" s="28"/>
      <c r="D41" s="28"/>
      <c r="E41" s="28"/>
      <c r="F41" s="28"/>
    </row>
    <row r="42" spans="1:6">
      <c r="A42" s="28" t="s">
        <v>62</v>
      </c>
      <c r="B42" s="28">
        <v>1</v>
      </c>
      <c r="C42" s="28" t="s">
        <v>14</v>
      </c>
      <c r="D42" s="28"/>
      <c r="E42" s="28"/>
      <c r="F42" s="28"/>
    </row>
    <row r="44" spans="1:6" ht="15">
      <c r="A44" s="1" t="s">
        <v>317</v>
      </c>
    </row>
    <row r="46" spans="1:6">
      <c r="A46" s="19" t="s">
        <v>318</v>
      </c>
      <c r="B46" s="20">
        <v>0.50700000000000001</v>
      </c>
      <c r="C46" s="19" t="s">
        <v>14</v>
      </c>
      <c r="D46" s="19"/>
      <c r="E46" s="19"/>
      <c r="F46" s="19"/>
    </row>
    <row r="47" spans="1:6">
      <c r="A47" s="2" t="s">
        <v>319</v>
      </c>
      <c r="B47" s="5">
        <f>B46*(1-B14)</f>
        <v>7.6050000000000006E-2</v>
      </c>
      <c r="C47" s="2" t="s">
        <v>14</v>
      </c>
      <c r="D47" s="19"/>
      <c r="E47" s="19" t="s">
        <v>320</v>
      </c>
      <c r="F47" s="19"/>
    </row>
    <row r="49" spans="1:6" ht="15">
      <c r="A49" s="15" t="s">
        <v>195</v>
      </c>
      <c r="B49" s="16"/>
      <c r="C49" s="16"/>
      <c r="D49" s="16"/>
      <c r="E49" s="16"/>
      <c r="F49" s="16"/>
    </row>
    <row r="50" spans="1:6" ht="15">
      <c r="A50" s="15" t="s">
        <v>44</v>
      </c>
      <c r="B50" s="16"/>
      <c r="C50" s="16"/>
      <c r="D50" s="16"/>
      <c r="E50" s="16"/>
      <c r="F50" s="16"/>
    </row>
    <row r="51" spans="1:6">
      <c r="A51" s="16" t="s">
        <v>64</v>
      </c>
      <c r="B51" s="17">
        <f>0.3*B46</f>
        <v>0.15209999999999999</v>
      </c>
      <c r="C51" s="16" t="s">
        <v>65</v>
      </c>
      <c r="D51" s="16"/>
      <c r="E51" s="16" t="s">
        <v>321</v>
      </c>
      <c r="F51" s="16" t="s">
        <v>68</v>
      </c>
    </row>
    <row r="52" spans="1:6">
      <c r="A52" s="16" t="s">
        <v>99</v>
      </c>
      <c r="B52" s="17">
        <v>2.2222222222222223E-5</v>
      </c>
      <c r="C52" s="16" t="s">
        <v>70</v>
      </c>
      <c r="D52" s="16"/>
      <c r="E52" s="16" t="s">
        <v>198</v>
      </c>
      <c r="F52" s="16" t="s">
        <v>72</v>
      </c>
    </row>
    <row r="53" spans="1:6">
      <c r="A53" s="16"/>
      <c r="B53" s="16"/>
      <c r="C53" s="16"/>
      <c r="D53" s="16"/>
      <c r="E53" s="16"/>
      <c r="F53" s="16"/>
    </row>
    <row r="54" spans="1:6" ht="15">
      <c r="A54" s="15" t="s">
        <v>61</v>
      </c>
      <c r="B54" s="16"/>
      <c r="C54" s="16"/>
      <c r="D54" s="16"/>
      <c r="E54" s="16"/>
      <c r="F54" s="16"/>
    </row>
    <row r="55" spans="1:6">
      <c r="A55" s="16" t="s">
        <v>202</v>
      </c>
      <c r="B55" s="16">
        <v>1</v>
      </c>
      <c r="C55" s="16" t="s">
        <v>46</v>
      </c>
      <c r="D55" s="16"/>
      <c r="E55" s="16"/>
      <c r="F55" s="16"/>
    </row>
    <row r="56" spans="1:6">
      <c r="A56" s="16" t="s">
        <v>203</v>
      </c>
      <c r="B56" s="17">
        <f>B47*B5/(1-B8)</f>
        <v>0.19012499999999996</v>
      </c>
      <c r="C56" s="16" t="s">
        <v>14</v>
      </c>
      <c r="D56" s="16"/>
      <c r="E56" s="16"/>
      <c r="F56" s="16"/>
    </row>
    <row r="57" spans="1:6">
      <c r="A57" s="16" t="s">
        <v>204</v>
      </c>
      <c r="B57" s="17">
        <f>(B46)-(B56+B58+B59)</f>
        <v>0.31489770000000006</v>
      </c>
      <c r="C57" s="16" t="s">
        <v>14</v>
      </c>
      <c r="D57" s="16"/>
      <c r="E57" s="16"/>
      <c r="F57" s="16"/>
    </row>
    <row r="58" spans="1:6">
      <c r="A58" s="16" t="s">
        <v>92</v>
      </c>
      <c r="B58" s="17">
        <f>B47*B7*0.95</f>
        <v>1.8784349999999999E-3</v>
      </c>
      <c r="C58" s="16" t="s">
        <v>14</v>
      </c>
      <c r="D58" s="16"/>
      <c r="E58" s="16" t="s">
        <v>205</v>
      </c>
      <c r="F58" s="16"/>
    </row>
    <row r="59" spans="1:6">
      <c r="A59" s="16" t="s">
        <v>133</v>
      </c>
      <c r="B59" s="17">
        <f>B47*B7*0.05</f>
        <v>9.886500000000001E-5</v>
      </c>
      <c r="C59" s="16" t="s">
        <v>14</v>
      </c>
      <c r="D59" s="16"/>
      <c r="E59" s="16"/>
      <c r="F59" s="16"/>
    </row>
    <row r="61" spans="1:6" ht="15">
      <c r="A61" s="12" t="s">
        <v>206</v>
      </c>
      <c r="B61" s="11"/>
      <c r="C61" s="11"/>
      <c r="D61" s="11"/>
      <c r="E61" s="11"/>
      <c r="F61" s="11"/>
    </row>
    <row r="62" spans="1:6" ht="15">
      <c r="A62" s="12" t="s">
        <v>44</v>
      </c>
      <c r="B62" s="11"/>
      <c r="C62" s="11"/>
      <c r="D62" s="11"/>
      <c r="E62" s="11"/>
      <c r="F62" s="11"/>
    </row>
    <row r="63" spans="1:6">
      <c r="A63" s="11" t="s">
        <v>64</v>
      </c>
      <c r="B63" s="14">
        <f>(B56 - (B56 * (1 - B8) / (1 - 0.1))) * (2260 / (0.7 * 3600))</f>
        <v>0.13678605158730156</v>
      </c>
      <c r="C63" s="11" t="s">
        <v>65</v>
      </c>
      <c r="D63" s="11"/>
      <c r="E63" s="11" t="s">
        <v>207</v>
      </c>
      <c r="F63" s="11" t="s">
        <v>68</v>
      </c>
    </row>
    <row r="64" spans="1:6">
      <c r="A64" s="11" t="s">
        <v>208</v>
      </c>
      <c r="B64" s="14">
        <v>2.1367521367521368E-5</v>
      </c>
      <c r="C64" s="11" t="s">
        <v>14</v>
      </c>
      <c r="D64" s="11"/>
      <c r="E64" s="11" t="s">
        <v>209</v>
      </c>
      <c r="F64" s="11" t="s">
        <v>72</v>
      </c>
    </row>
    <row r="65" spans="1:6">
      <c r="A65" s="11"/>
      <c r="B65" s="11"/>
      <c r="C65" s="11"/>
      <c r="D65" s="11"/>
      <c r="E65" s="11"/>
      <c r="F65" s="11"/>
    </row>
    <row r="66" spans="1:6" ht="15">
      <c r="A66" s="12" t="s">
        <v>61</v>
      </c>
      <c r="B66" s="11"/>
      <c r="C66" s="11"/>
      <c r="D66" s="11"/>
      <c r="E66" s="11"/>
      <c r="F66" s="11"/>
    </row>
    <row r="67" spans="1:6">
      <c r="A67" s="11" t="s">
        <v>180</v>
      </c>
      <c r="B67" s="11">
        <v>1</v>
      </c>
      <c r="C67" s="11" t="s">
        <v>46</v>
      </c>
      <c r="D67" s="11"/>
      <c r="E67" s="11"/>
      <c r="F67" s="11"/>
    </row>
    <row r="68" spans="1:6">
      <c r="A68" s="11" t="s">
        <v>210</v>
      </c>
      <c r="B68" s="14">
        <f>(B56*(1-B8))/0.9</f>
        <v>3.7602500000000004E-2</v>
      </c>
      <c r="C68" s="11" t="s">
        <v>14</v>
      </c>
      <c r="D68" s="11"/>
      <c r="E68" s="11"/>
      <c r="F68" s="11"/>
    </row>
    <row r="69" spans="1:6">
      <c r="A69" s="11" t="s">
        <v>212</v>
      </c>
      <c r="B69" s="14">
        <f>(B56-B68)/1000</f>
        <v>1.5252249999999994E-4</v>
      </c>
      <c r="C69" s="11" t="s">
        <v>23</v>
      </c>
      <c r="D69" s="11"/>
      <c r="E69" s="11" t="s">
        <v>322</v>
      </c>
      <c r="F69" s="11" t="s">
        <v>104</v>
      </c>
    </row>
    <row r="72" spans="1:6" ht="15">
      <c r="A72" s="27" t="s">
        <v>184</v>
      </c>
      <c r="B72" s="39" t="s">
        <v>80</v>
      </c>
      <c r="C72" s="29">
        <v>1</v>
      </c>
      <c r="D72" s="28"/>
      <c r="E72" s="28" t="s">
        <v>286</v>
      </c>
      <c r="F72" s="28"/>
    </row>
    <row r="73" spans="1:6" ht="15">
      <c r="A73" s="27" t="s">
        <v>44</v>
      </c>
      <c r="B73" s="28"/>
      <c r="C73" s="28"/>
      <c r="D73" s="28"/>
      <c r="E73" s="28"/>
      <c r="F73" s="28"/>
    </row>
    <row r="74" spans="1:6">
      <c r="A74" s="28" t="s">
        <v>287</v>
      </c>
      <c r="B74" s="28">
        <v>0</v>
      </c>
      <c r="C74" s="28" t="s">
        <v>73</v>
      </c>
      <c r="D74" s="28"/>
      <c r="E74" s="28"/>
      <c r="F74" s="28" t="s">
        <v>84</v>
      </c>
    </row>
    <row r="75" spans="1:6">
      <c r="A75" s="28" t="s">
        <v>85</v>
      </c>
      <c r="B75" s="28">
        <v>0</v>
      </c>
      <c r="C75" s="28" t="s">
        <v>65</v>
      </c>
      <c r="D75" s="28"/>
      <c r="E75" s="28"/>
      <c r="F75" s="28" t="s">
        <v>68</v>
      </c>
    </row>
    <row r="76" spans="1:6">
      <c r="A76" s="28" t="s">
        <v>288</v>
      </c>
      <c r="B76" s="28">
        <v>0</v>
      </c>
      <c r="C76" s="28" t="s">
        <v>50</v>
      </c>
      <c r="D76" s="28"/>
      <c r="E76" s="28"/>
      <c r="F76" s="28" t="s">
        <v>88</v>
      </c>
    </row>
    <row r="77" spans="1:6">
      <c r="A77" s="28"/>
      <c r="B77" s="28"/>
      <c r="C77" s="28"/>
      <c r="D77" s="28"/>
      <c r="E77" s="28"/>
      <c r="F77" s="28"/>
    </row>
    <row r="78" spans="1:6" ht="15">
      <c r="A78" s="27" t="s">
        <v>76</v>
      </c>
      <c r="B78" s="28"/>
      <c r="C78" s="28"/>
      <c r="D78" s="28"/>
      <c r="E78" s="28"/>
      <c r="F78" s="28"/>
    </row>
    <row r="79" spans="1:6">
      <c r="A79" s="28" t="s">
        <v>45</v>
      </c>
      <c r="B79" s="28">
        <v>1</v>
      </c>
      <c r="C79" s="28" t="s">
        <v>73</v>
      </c>
      <c r="D79" s="28"/>
      <c r="E79" s="28"/>
      <c r="F79" s="28"/>
    </row>
    <row r="80" spans="1:6">
      <c r="A80" s="28" t="s">
        <v>289</v>
      </c>
      <c r="B80" s="29">
        <f>B11*B10*B57/0.6</f>
        <v>14.951678686880001</v>
      </c>
      <c r="C80" s="28" t="s">
        <v>290</v>
      </c>
      <c r="D80" s="28"/>
      <c r="E80" s="28"/>
      <c r="F80" s="28"/>
    </row>
    <row r="81" spans="1:6">
      <c r="A81" s="28" t="s">
        <v>291</v>
      </c>
      <c r="B81" s="37">
        <f>B57-B94</f>
        <v>0.29675286366250686</v>
      </c>
      <c r="C81" s="28" t="s">
        <v>14</v>
      </c>
      <c r="D81" s="28"/>
      <c r="E81" s="28"/>
      <c r="F81" s="28" t="s">
        <v>104</v>
      </c>
    </row>
    <row r="82" spans="1:6">
      <c r="A82" s="28" t="s">
        <v>91</v>
      </c>
      <c r="B82" s="28">
        <v>0</v>
      </c>
      <c r="C82" s="29" t="s">
        <v>14</v>
      </c>
      <c r="D82" s="28"/>
      <c r="E82" s="28"/>
      <c r="F82" s="28"/>
    </row>
    <row r="83" spans="1:6">
      <c r="A83" s="28" t="s">
        <v>92</v>
      </c>
      <c r="B83" s="28">
        <v>0</v>
      </c>
      <c r="C83" s="29" t="s">
        <v>14</v>
      </c>
      <c r="D83" s="28"/>
      <c r="E83" s="28"/>
      <c r="F83" s="28"/>
    </row>
    <row r="84" spans="1:6">
      <c r="A84" s="28" t="s">
        <v>93</v>
      </c>
      <c r="B84" s="28">
        <v>0</v>
      </c>
      <c r="C84" s="29" t="s">
        <v>14</v>
      </c>
      <c r="D84" s="28"/>
      <c r="E84" s="28"/>
      <c r="F84" s="28"/>
    </row>
    <row r="85" spans="1:6">
      <c r="A85" s="28" t="s">
        <v>94</v>
      </c>
      <c r="B85" s="28">
        <v>0</v>
      </c>
      <c r="C85" s="29" t="s">
        <v>14</v>
      </c>
      <c r="D85" s="28"/>
      <c r="E85" s="28"/>
      <c r="F85" s="28"/>
    </row>
    <row r="86" spans="1:6">
      <c r="A86" s="28" t="s">
        <v>95</v>
      </c>
      <c r="B86" s="28">
        <v>0</v>
      </c>
      <c r="C86" s="29" t="s">
        <v>14</v>
      </c>
      <c r="D86" s="28"/>
      <c r="E86" s="28"/>
      <c r="F86" s="28"/>
    </row>
    <row r="88" spans="1:6" ht="15">
      <c r="A88" s="4" t="s">
        <v>293</v>
      </c>
      <c r="B88" s="2"/>
      <c r="C88" s="2"/>
      <c r="D88" s="2"/>
      <c r="E88" s="2"/>
      <c r="F88" s="2"/>
    </row>
    <row r="89" spans="1:6">
      <c r="A89" s="5" t="s">
        <v>323</v>
      </c>
      <c r="B89" s="5">
        <f>B11*B10*B57/0.6</f>
        <v>14.951678686880001</v>
      </c>
      <c r="C89" s="5" t="s">
        <v>295</v>
      </c>
      <c r="D89" s="2"/>
      <c r="E89" s="2"/>
      <c r="F89" s="2"/>
    </row>
    <row r="90" spans="1:6">
      <c r="A90" s="2" t="s">
        <v>296</v>
      </c>
      <c r="B90" s="2"/>
      <c r="C90" s="2"/>
      <c r="D90" s="2"/>
      <c r="E90" s="5"/>
      <c r="F90" s="2"/>
    </row>
    <row r="91" spans="1:6">
      <c r="A91" s="2" t="s">
        <v>297</v>
      </c>
      <c r="B91" s="5">
        <f>B57</f>
        <v>0.31489770000000006</v>
      </c>
      <c r="C91" s="5" t="s">
        <v>14</v>
      </c>
      <c r="D91" s="5"/>
      <c r="E91" s="5"/>
      <c r="F91" s="2"/>
    </row>
    <row r="92" spans="1:6">
      <c r="A92" s="2" t="s">
        <v>298</v>
      </c>
      <c r="B92" s="5">
        <f>(1*B80)/(0.0821*273)</f>
        <v>0.66708957123136703</v>
      </c>
      <c r="C92" s="2"/>
      <c r="D92" s="5"/>
      <c r="E92" s="5"/>
      <c r="F92" s="2"/>
    </row>
    <row r="93" spans="1:6">
      <c r="A93" s="2" t="s">
        <v>299</v>
      </c>
      <c r="B93" s="2">
        <f>16*0.6+44*0.4</f>
        <v>27.200000000000003</v>
      </c>
      <c r="C93" s="2" t="s">
        <v>40</v>
      </c>
      <c r="D93" s="2"/>
      <c r="E93" s="2"/>
      <c r="F93" s="2"/>
    </row>
    <row r="94" spans="1:6">
      <c r="A94" s="2" t="s">
        <v>300</v>
      </c>
      <c r="B94" s="5">
        <f>B93*B92/1000</f>
        <v>1.8144836337493184E-2</v>
      </c>
      <c r="C94" s="2" t="s">
        <v>14</v>
      </c>
      <c r="D94" s="2"/>
      <c r="E94" s="2"/>
      <c r="F94" s="2"/>
    </row>
    <row r="95" spans="1:6" ht="20.25">
      <c r="A95" s="2" t="s">
        <v>301</v>
      </c>
      <c r="B95" s="5">
        <f>B91-B94</f>
        <v>0.29675286366250686</v>
      </c>
      <c r="C95" s="2" t="s">
        <v>14</v>
      </c>
      <c r="D95" s="2"/>
      <c r="E95" s="40"/>
      <c r="F95" s="2"/>
    </row>
    <row r="96" spans="1:6">
      <c r="A96" s="2" t="s">
        <v>302</v>
      </c>
      <c r="B96" s="5">
        <f>(B57)/(B94/B4)</f>
        <v>21.190055647154967</v>
      </c>
      <c r="C96" s="2" t="s">
        <v>14</v>
      </c>
      <c r="D96" s="2"/>
      <c r="E96" s="2"/>
      <c r="F96" s="2"/>
    </row>
    <row r="98" spans="1:6" ht="15">
      <c r="A98" s="33" t="s">
        <v>303</v>
      </c>
      <c r="B98" s="24"/>
      <c r="C98" s="25"/>
      <c r="D98" s="24" t="s">
        <v>108</v>
      </c>
      <c r="E98" s="25"/>
      <c r="F98" s="25"/>
    </row>
    <row r="99" spans="1:6" ht="15">
      <c r="A99" s="24" t="s">
        <v>44</v>
      </c>
      <c r="B99" s="25"/>
      <c r="C99" s="25"/>
      <c r="D99" s="25"/>
      <c r="E99" s="25"/>
      <c r="F99" s="25"/>
    </row>
    <row r="100" spans="1:6">
      <c r="A100" s="25" t="s">
        <v>109</v>
      </c>
      <c r="B100" s="26">
        <v>2.0799999999999999E-4</v>
      </c>
      <c r="C100" s="25" t="s">
        <v>14</v>
      </c>
      <c r="D100" s="25"/>
      <c r="E100" s="25"/>
      <c r="F100" s="25" t="s">
        <v>110</v>
      </c>
    </row>
    <row r="101" spans="1:6">
      <c r="A101" s="25" t="s">
        <v>111</v>
      </c>
      <c r="B101" s="26">
        <v>5.4000000000000001E-11</v>
      </c>
      <c r="C101" s="25" t="s">
        <v>46</v>
      </c>
      <c r="D101" s="25"/>
      <c r="E101" s="25"/>
      <c r="F101" s="25" t="s">
        <v>112</v>
      </c>
    </row>
    <row r="102" spans="1:6">
      <c r="A102" s="25" t="s">
        <v>85</v>
      </c>
      <c r="B102" s="25">
        <v>0.18562874251497</v>
      </c>
      <c r="C102" s="25" t="s">
        <v>86</v>
      </c>
      <c r="D102" s="25"/>
      <c r="E102" s="25"/>
      <c r="F102" s="25" t="s">
        <v>68</v>
      </c>
    </row>
    <row r="103" spans="1:6">
      <c r="A103" s="25" t="s">
        <v>113</v>
      </c>
      <c r="B103" s="26">
        <v>1.4999999999999999E-4</v>
      </c>
      <c r="C103" s="25" t="s">
        <v>14</v>
      </c>
      <c r="D103" s="25"/>
      <c r="E103" s="25"/>
      <c r="F103" s="25" t="s">
        <v>114</v>
      </c>
    </row>
    <row r="104" spans="1:6">
      <c r="A104" s="25" t="s">
        <v>115</v>
      </c>
      <c r="B104" s="26">
        <v>3.98E-6</v>
      </c>
      <c r="C104" s="25" t="s">
        <v>14</v>
      </c>
      <c r="D104" s="25"/>
      <c r="E104" s="25"/>
      <c r="F104" s="25" t="s">
        <v>116</v>
      </c>
    </row>
    <row r="105" spans="1:6">
      <c r="A105" s="25"/>
      <c r="B105" s="25"/>
      <c r="C105" s="25"/>
      <c r="D105" s="25"/>
      <c r="E105" s="25"/>
      <c r="F105" s="25"/>
    </row>
    <row r="106" spans="1:6" ht="15">
      <c r="A106" s="24" t="s">
        <v>61</v>
      </c>
      <c r="B106" s="25"/>
      <c r="C106" s="25"/>
      <c r="D106" s="25"/>
      <c r="E106" s="25"/>
      <c r="F106" s="25"/>
    </row>
    <row r="107" spans="1:6">
      <c r="A107" s="25" t="s">
        <v>47</v>
      </c>
      <c r="B107" s="25">
        <v>1</v>
      </c>
      <c r="C107" s="25" t="s">
        <v>46</v>
      </c>
      <c r="D107" s="25"/>
      <c r="E107" s="25"/>
      <c r="F107" s="25"/>
    </row>
    <row r="108" spans="1:6">
      <c r="A108" s="25" t="s">
        <v>117</v>
      </c>
      <c r="B108" s="25">
        <v>1</v>
      </c>
      <c r="C108" s="25" t="s">
        <v>23</v>
      </c>
      <c r="D108" s="25"/>
      <c r="E108" s="25"/>
      <c r="F108" s="25"/>
    </row>
    <row r="109" spans="1:6">
      <c r="A109" s="25" t="s">
        <v>92</v>
      </c>
      <c r="B109" s="26">
        <v>0.97457000000000005</v>
      </c>
      <c r="C109" s="25" t="s">
        <v>14</v>
      </c>
      <c r="D109" s="25"/>
      <c r="E109" s="25"/>
      <c r="F109" s="25"/>
    </row>
    <row r="110" spans="1:6">
      <c r="A110" s="25" t="s">
        <v>118</v>
      </c>
      <c r="B110" s="26">
        <v>1.28</v>
      </c>
      <c r="C110" s="25" t="s">
        <v>50</v>
      </c>
      <c r="D110" s="25"/>
      <c r="E110" s="25"/>
      <c r="F110" s="25"/>
    </row>
    <row r="111" spans="1:6">
      <c r="A111" s="25" t="s">
        <v>94</v>
      </c>
      <c r="B111" s="26">
        <v>6.7000000000000002E-6</v>
      </c>
      <c r="C111" s="25" t="s">
        <v>14</v>
      </c>
      <c r="D111" s="25"/>
      <c r="E111" s="25"/>
      <c r="F111" s="25"/>
    </row>
    <row r="112" spans="1:6">
      <c r="A112" s="25" t="s">
        <v>95</v>
      </c>
      <c r="B112" s="25">
        <v>8.6E-3</v>
      </c>
      <c r="C112" s="25" t="s">
        <v>14</v>
      </c>
      <c r="D112" s="25"/>
      <c r="E112" s="25"/>
      <c r="F112" s="25"/>
    </row>
    <row r="113" spans="1:6">
      <c r="A113" s="25" t="s">
        <v>119</v>
      </c>
      <c r="B113" s="25">
        <v>4.8779999999999997E-2</v>
      </c>
      <c r="C113" s="25" t="s">
        <v>14</v>
      </c>
      <c r="D113" s="25"/>
      <c r="E113" s="25"/>
      <c r="F113" s="25"/>
    </row>
    <row r="114" spans="1:6">
      <c r="A114" s="25" t="s">
        <v>120</v>
      </c>
      <c r="B114" s="26">
        <v>6.5989999999999998E-6</v>
      </c>
      <c r="C114" s="25" t="s">
        <v>14</v>
      </c>
      <c r="D114" s="25"/>
      <c r="E114" s="25"/>
      <c r="F114" s="25"/>
    </row>
    <row r="116" spans="1:6" ht="15">
      <c r="A116" s="34" t="s">
        <v>186</v>
      </c>
      <c r="B116" s="28"/>
      <c r="C116" s="28"/>
      <c r="D116" s="27" t="s">
        <v>121</v>
      </c>
      <c r="E116" s="28"/>
      <c r="F116" s="28"/>
    </row>
    <row r="117" spans="1:6" ht="15">
      <c r="A117" s="27" t="s">
        <v>44</v>
      </c>
      <c r="B117" s="28"/>
      <c r="C117" s="28"/>
      <c r="D117" s="28"/>
      <c r="E117" s="28"/>
      <c r="F117" s="28"/>
    </row>
    <row r="118" spans="1:6">
      <c r="A118" s="28" t="s">
        <v>85</v>
      </c>
      <c r="B118" s="28">
        <v>2.7244000000000001E-3</v>
      </c>
      <c r="C118" s="28" t="s">
        <v>86</v>
      </c>
      <c r="D118" s="28"/>
      <c r="E118" s="28"/>
      <c r="F118" s="28" t="s">
        <v>68</v>
      </c>
    </row>
    <row r="119" spans="1:6">
      <c r="A119" s="28" t="s">
        <v>122</v>
      </c>
      <c r="B119" s="29">
        <v>6.4679999999999999E-7</v>
      </c>
      <c r="C119" s="28" t="s">
        <v>46</v>
      </c>
      <c r="D119" s="28"/>
      <c r="E119" s="28"/>
      <c r="F119" s="28" t="s">
        <v>123</v>
      </c>
    </row>
    <row r="120" spans="1:6">
      <c r="A120" s="28"/>
      <c r="B120" s="28"/>
      <c r="C120" s="28"/>
      <c r="D120" s="28"/>
      <c r="E120" s="28"/>
      <c r="F120" s="28"/>
    </row>
    <row r="121" spans="1:6" ht="15">
      <c r="A121" s="27" t="s">
        <v>61</v>
      </c>
      <c r="B121" s="28"/>
      <c r="C121" s="28"/>
      <c r="D121" s="28"/>
      <c r="E121" s="28"/>
      <c r="F121" s="28"/>
    </row>
    <row r="122" spans="1:6">
      <c r="A122" s="28" t="s">
        <v>124</v>
      </c>
      <c r="B122" s="28">
        <v>1</v>
      </c>
      <c r="C122" s="28" t="s">
        <v>46</v>
      </c>
      <c r="D122" s="28"/>
      <c r="E122" s="28"/>
      <c r="F122" s="28"/>
    </row>
    <row r="123" spans="1:6">
      <c r="A123" s="28" t="s">
        <v>125</v>
      </c>
      <c r="B123" s="28">
        <v>0</v>
      </c>
      <c r="C123" s="28" t="s">
        <v>50</v>
      </c>
      <c r="D123" s="28"/>
      <c r="E123" s="28" t="s">
        <v>126</v>
      </c>
      <c r="F123" s="28"/>
    </row>
    <row r="124" spans="1:6">
      <c r="A124" s="28" t="s">
        <v>128</v>
      </c>
      <c r="B124" s="29">
        <v>9.7999999999999992E-10</v>
      </c>
      <c r="C124" s="28" t="s">
        <v>14</v>
      </c>
      <c r="D124" s="28"/>
      <c r="E124" s="28"/>
      <c r="F124" s="28"/>
    </row>
    <row r="125" spans="1:6">
      <c r="A125" s="28" t="s">
        <v>129</v>
      </c>
      <c r="B125" s="29">
        <v>1.4700000000000001E-7</v>
      </c>
      <c r="C125" s="28" t="s">
        <v>14</v>
      </c>
      <c r="D125" s="28"/>
      <c r="E125" s="28"/>
      <c r="F125" s="28"/>
    </row>
    <row r="126" spans="1:6">
      <c r="A126" s="28" t="s">
        <v>130</v>
      </c>
      <c r="B126" s="29">
        <v>3.9200000000000002E-7</v>
      </c>
      <c r="C126" s="28" t="s">
        <v>14</v>
      </c>
      <c r="D126" s="28"/>
      <c r="E126" s="28"/>
      <c r="F126" s="28"/>
    </row>
    <row r="127" spans="1:6">
      <c r="A127" s="28" t="s">
        <v>131</v>
      </c>
      <c r="B127" s="29">
        <v>9.7999999999999994E-12</v>
      </c>
      <c r="C127" s="28" t="s">
        <v>14</v>
      </c>
      <c r="D127" s="28"/>
      <c r="E127" s="28"/>
      <c r="F127" s="28"/>
    </row>
    <row r="128" spans="1:6">
      <c r="A128" s="28" t="s">
        <v>132</v>
      </c>
      <c r="B128" s="29">
        <v>6.8599999999999998E-7</v>
      </c>
      <c r="C128" s="28" t="s">
        <v>14</v>
      </c>
      <c r="D128" s="28"/>
      <c r="E128" s="28"/>
      <c r="F128" s="28"/>
    </row>
    <row r="129" spans="1:6">
      <c r="A129" s="28" t="s">
        <v>92</v>
      </c>
      <c r="B129" s="28">
        <v>5.4879999999999998E-2</v>
      </c>
      <c r="C129" s="28" t="s">
        <v>14</v>
      </c>
      <c r="D129" s="28"/>
      <c r="E129" s="28"/>
      <c r="F129" s="28"/>
    </row>
    <row r="130" spans="1:6">
      <c r="A130" s="28" t="s">
        <v>133</v>
      </c>
      <c r="B130" s="29">
        <v>5.7819999999999999E-6</v>
      </c>
      <c r="C130" s="28" t="s">
        <v>14</v>
      </c>
      <c r="D130" s="28"/>
      <c r="E130" s="28"/>
      <c r="F130" s="28"/>
    </row>
    <row r="131" spans="1:6">
      <c r="A131" s="28" t="s">
        <v>93</v>
      </c>
      <c r="B131" s="29">
        <v>4.8999999999999997E-7</v>
      </c>
      <c r="C131" s="28" t="s">
        <v>14</v>
      </c>
      <c r="D131" s="28"/>
      <c r="E131" s="28"/>
      <c r="F131" s="28"/>
    </row>
    <row r="132" spans="1:6">
      <c r="A132" s="28" t="s">
        <v>134</v>
      </c>
      <c r="B132" s="29">
        <v>2.9400000000000001E-17</v>
      </c>
      <c r="C132" s="28" t="s">
        <v>14</v>
      </c>
      <c r="D132" s="28"/>
      <c r="E132" s="28"/>
      <c r="F132" s="28"/>
    </row>
    <row r="133" spans="1:6">
      <c r="A133" s="28" t="s">
        <v>135</v>
      </c>
      <c r="B133" s="29">
        <v>9.8000000000000004E-8</v>
      </c>
      <c r="C133" s="28" t="s">
        <v>14</v>
      </c>
      <c r="D133" s="28"/>
      <c r="E133" s="28"/>
      <c r="F133" s="28"/>
    </row>
    <row r="134" spans="1:6">
      <c r="A134" s="28" t="s">
        <v>136</v>
      </c>
      <c r="B134" s="29">
        <v>2.9400000000000003E-11</v>
      </c>
      <c r="C134" s="28" t="s">
        <v>14</v>
      </c>
      <c r="D134" s="28"/>
      <c r="E134" s="28"/>
      <c r="F134" s="28"/>
    </row>
    <row r="135" spans="1:6">
      <c r="A135" s="28" t="s">
        <v>95</v>
      </c>
      <c r="B135" s="29">
        <v>1.9599999999999999E-6</v>
      </c>
      <c r="C135" s="28" t="s">
        <v>14</v>
      </c>
      <c r="D135" s="28"/>
      <c r="E135" s="28"/>
      <c r="F135" s="28"/>
    </row>
    <row r="136" spans="1:6">
      <c r="A136" s="28" t="s">
        <v>137</v>
      </c>
      <c r="B136" s="29">
        <v>1.2739999999999999E-7</v>
      </c>
      <c r="C136" s="28" t="s">
        <v>14</v>
      </c>
      <c r="D136" s="28"/>
      <c r="E136" s="28"/>
      <c r="F136" s="28"/>
    </row>
    <row r="137" spans="1:6">
      <c r="A137" s="28" t="s">
        <v>138</v>
      </c>
      <c r="B137" s="29">
        <v>2.9400000000000002E-9</v>
      </c>
      <c r="C137" s="28" t="s">
        <v>14</v>
      </c>
      <c r="D137" s="28"/>
      <c r="E137" s="28"/>
      <c r="F137" s="28"/>
    </row>
    <row r="138" spans="1:6">
      <c r="A138" s="28" t="s">
        <v>139</v>
      </c>
      <c r="B138" s="29">
        <v>9.7019999999999996E-6</v>
      </c>
      <c r="C138" s="28" t="s">
        <v>14</v>
      </c>
      <c r="D138" s="28"/>
      <c r="E138" s="28"/>
      <c r="F138" s="28"/>
    </row>
    <row r="139" spans="1:6">
      <c r="A139" s="28" t="s">
        <v>140</v>
      </c>
      <c r="B139" s="29">
        <v>9.8000000000000001E-9</v>
      </c>
      <c r="C139" s="28" t="s">
        <v>14</v>
      </c>
      <c r="D139" s="28"/>
      <c r="E139" s="28"/>
      <c r="F139" s="28"/>
    </row>
    <row r="140" spans="1:6">
      <c r="A140" s="28" t="s">
        <v>141</v>
      </c>
      <c r="B140" s="29">
        <v>9.8000000000000004E-8</v>
      </c>
      <c r="C140" s="28" t="s">
        <v>14</v>
      </c>
      <c r="D140" s="28"/>
      <c r="E140" s="28"/>
      <c r="F140" s="28"/>
    </row>
    <row r="141" spans="1:6">
      <c r="A141" s="28" t="s">
        <v>142</v>
      </c>
      <c r="B141" s="29">
        <v>1.176E-6</v>
      </c>
      <c r="C141" s="28" t="s">
        <v>14</v>
      </c>
      <c r="D141" s="28"/>
      <c r="E141" s="28"/>
      <c r="F141" s="28"/>
    </row>
    <row r="142" spans="1:6">
      <c r="A142" s="28" t="s">
        <v>143</v>
      </c>
      <c r="B142" s="29">
        <v>1.9600000000000001E-7</v>
      </c>
      <c r="C142" s="28" t="s">
        <v>14</v>
      </c>
      <c r="D142" s="28"/>
      <c r="E142" s="28"/>
      <c r="F142" s="28"/>
    </row>
    <row r="143" spans="1:6">
      <c r="A143" s="28" t="s">
        <v>144</v>
      </c>
      <c r="B143" s="29">
        <v>1.96E-8</v>
      </c>
      <c r="C143" s="28" t="s">
        <v>14</v>
      </c>
      <c r="D143" s="28"/>
      <c r="E143" s="28"/>
      <c r="F143" s="28"/>
    </row>
    <row r="144" spans="1:6">
      <c r="A144" s="28" t="s">
        <v>145</v>
      </c>
      <c r="B144" s="29">
        <v>4.9000000000000002E-8</v>
      </c>
      <c r="C144" s="28" t="s">
        <v>14</v>
      </c>
      <c r="D144" s="28"/>
      <c r="E144" s="28"/>
      <c r="F144" s="28"/>
    </row>
    <row r="145" spans="1:6">
      <c r="A145" s="28" t="s">
        <v>146</v>
      </c>
      <c r="B145" s="29">
        <v>4.9000000000000002E-8</v>
      </c>
      <c r="C145" s="28" t="s">
        <v>14</v>
      </c>
      <c r="D145" s="28"/>
      <c r="E145" s="28"/>
      <c r="F145" s="28"/>
    </row>
    <row r="146" spans="1:6">
      <c r="A146" s="28" t="s">
        <v>120</v>
      </c>
      <c r="B146" s="29">
        <v>4.8999999999999997E-7</v>
      </c>
      <c r="C146" s="28" t="s">
        <v>14</v>
      </c>
      <c r="D146" s="28"/>
      <c r="E146" s="28"/>
      <c r="F146" s="28"/>
    </row>
    <row r="147" spans="1:6">
      <c r="A147" s="28" t="s">
        <v>147</v>
      </c>
      <c r="B147" s="29">
        <v>1.9600000000000001E-7</v>
      </c>
      <c r="C147" s="28" t="s">
        <v>14</v>
      </c>
      <c r="D147" s="28"/>
      <c r="E147" s="28"/>
      <c r="F147" s="28"/>
    </row>
    <row r="149" spans="1:6" ht="15">
      <c r="A149" s="30" t="s">
        <v>304</v>
      </c>
      <c r="B149" s="16"/>
      <c r="C149" s="16"/>
      <c r="D149" s="16"/>
      <c r="E149" s="16"/>
      <c r="F149" s="16"/>
    </row>
    <row r="150" spans="1:6" ht="15">
      <c r="A150" s="15" t="s">
        <v>44</v>
      </c>
      <c r="B150" s="16"/>
      <c r="C150" s="16"/>
      <c r="D150" s="16"/>
      <c r="E150" s="16"/>
      <c r="F150" s="16"/>
    </row>
    <row r="151" spans="1:6">
      <c r="A151" s="16" t="s">
        <v>85</v>
      </c>
      <c r="B151" s="16">
        <v>4.6333333333333296E-3</v>
      </c>
      <c r="C151" s="16" t="s">
        <v>86</v>
      </c>
      <c r="D151" s="16"/>
      <c r="E151" s="16"/>
      <c r="F151" s="16" t="s">
        <v>68</v>
      </c>
    </row>
    <row r="152" spans="1:6">
      <c r="A152" s="16" t="s">
        <v>149</v>
      </c>
      <c r="B152" s="17">
        <v>3.1111111111111102E-9</v>
      </c>
      <c r="C152" s="16" t="s">
        <v>46</v>
      </c>
      <c r="D152" s="16"/>
      <c r="E152" s="16"/>
      <c r="F152" s="16" t="s">
        <v>150</v>
      </c>
    </row>
    <row r="153" spans="1:6">
      <c r="A153" s="16" t="s">
        <v>151</v>
      </c>
      <c r="B153" s="16">
        <v>3.0864197530864199E-2</v>
      </c>
      <c r="C153" s="16" t="s">
        <v>23</v>
      </c>
      <c r="D153" s="16"/>
      <c r="E153" s="16"/>
      <c r="F153" s="16" t="s">
        <v>152</v>
      </c>
    </row>
    <row r="154" spans="1:6">
      <c r="A154" s="16"/>
      <c r="B154" s="16"/>
      <c r="C154" s="16"/>
      <c r="D154" s="16"/>
      <c r="E154" s="16"/>
      <c r="F154" s="16"/>
    </row>
    <row r="155" spans="1:6" ht="15">
      <c r="A155" s="15" t="s">
        <v>76</v>
      </c>
      <c r="B155" s="16"/>
      <c r="C155" s="16"/>
      <c r="D155" s="16"/>
      <c r="E155" s="16"/>
      <c r="F155" s="16"/>
    </row>
    <row r="156" spans="1:6">
      <c r="A156" s="16" t="s">
        <v>87</v>
      </c>
      <c r="B156" s="16">
        <v>1</v>
      </c>
      <c r="C156" s="16" t="s">
        <v>50</v>
      </c>
      <c r="D156" s="16"/>
      <c r="E156" s="16"/>
      <c r="F156" s="16"/>
    </row>
    <row r="157" spans="1:6">
      <c r="A157" s="16" t="s">
        <v>128</v>
      </c>
      <c r="B157" s="17">
        <v>1.11111111111111E-9</v>
      </c>
      <c r="C157" s="16" t="s">
        <v>14</v>
      </c>
      <c r="D157" s="16"/>
      <c r="E157" s="16"/>
      <c r="F157" s="16"/>
    </row>
    <row r="158" spans="1:6">
      <c r="A158" s="16" t="s">
        <v>129</v>
      </c>
      <c r="B158" s="17">
        <v>1.6666666666666699E-7</v>
      </c>
      <c r="C158" s="16" t="s">
        <v>14</v>
      </c>
      <c r="D158" s="16"/>
      <c r="E158" s="16"/>
      <c r="F158" s="16"/>
    </row>
    <row r="159" spans="1:6">
      <c r="A159" s="16" t="s">
        <v>130</v>
      </c>
      <c r="B159" s="17">
        <v>4.4444444444444401E-7</v>
      </c>
      <c r="C159" s="16" t="s">
        <v>14</v>
      </c>
      <c r="D159" s="16"/>
      <c r="E159" s="16"/>
      <c r="F159" s="16"/>
    </row>
    <row r="160" spans="1:6">
      <c r="A160" s="17" t="s">
        <v>131</v>
      </c>
      <c r="B160" s="17">
        <v>1.11111111111111E-11</v>
      </c>
      <c r="C160" s="16" t="s">
        <v>14</v>
      </c>
      <c r="D160" s="16"/>
      <c r="E160" s="16"/>
      <c r="F160" s="16"/>
    </row>
    <row r="161" spans="1:6">
      <c r="A161" s="17" t="s">
        <v>132</v>
      </c>
      <c r="B161" s="17">
        <v>7.77777777777778E-7</v>
      </c>
      <c r="C161" s="16" t="s">
        <v>14</v>
      </c>
      <c r="D161" s="16"/>
      <c r="E161" s="16"/>
      <c r="F161" s="16"/>
    </row>
    <row r="162" spans="1:6">
      <c r="A162" s="17" t="s">
        <v>153</v>
      </c>
      <c r="B162" s="16">
        <v>6.22222222222222E-2</v>
      </c>
      <c r="C162" s="16" t="s">
        <v>14</v>
      </c>
      <c r="D162" s="16"/>
      <c r="E162" s="16"/>
      <c r="F162" s="16"/>
    </row>
    <row r="163" spans="1:6">
      <c r="A163" s="17" t="s">
        <v>154</v>
      </c>
      <c r="B163" s="17">
        <v>1.5555555555555599E-5</v>
      </c>
      <c r="C163" s="16" t="s">
        <v>14</v>
      </c>
      <c r="D163" s="16"/>
      <c r="E163" s="16"/>
      <c r="F163" s="16"/>
    </row>
    <row r="164" spans="1:6">
      <c r="A164" s="17" t="s">
        <v>93</v>
      </c>
      <c r="B164" s="17">
        <v>1.11111111111111E-7</v>
      </c>
      <c r="C164" s="16" t="s">
        <v>14</v>
      </c>
      <c r="D164" s="16"/>
      <c r="E164" s="16"/>
      <c r="F164" s="16"/>
    </row>
    <row r="165" spans="1:6">
      <c r="A165" s="16" t="s">
        <v>134</v>
      </c>
      <c r="B165" s="17">
        <v>3.3333333333333298E-17</v>
      </c>
      <c r="C165" s="16" t="s">
        <v>14</v>
      </c>
      <c r="D165" s="16"/>
      <c r="E165" s="16"/>
      <c r="F165" s="17"/>
    </row>
    <row r="166" spans="1:6">
      <c r="A166" s="16" t="s">
        <v>135</v>
      </c>
      <c r="B166" s="17">
        <v>1.11111111111111E-7</v>
      </c>
      <c r="C166" s="16" t="s">
        <v>14</v>
      </c>
      <c r="D166" s="16"/>
      <c r="E166" s="17"/>
      <c r="F166" s="16"/>
    </row>
    <row r="167" spans="1:6">
      <c r="A167" s="17" t="s">
        <v>136</v>
      </c>
      <c r="B167" s="17">
        <v>3.3333333333333302E-11</v>
      </c>
      <c r="C167" s="16" t="s">
        <v>14</v>
      </c>
      <c r="D167" s="16"/>
      <c r="E167" s="16"/>
      <c r="F167" s="16"/>
    </row>
    <row r="168" spans="1:6">
      <c r="A168" s="16" t="s">
        <v>155</v>
      </c>
      <c r="B168" s="17">
        <v>2.22222222222222E-6</v>
      </c>
      <c r="C168" s="16" t="s">
        <v>14</v>
      </c>
      <c r="D168" s="16"/>
      <c r="E168" s="16"/>
      <c r="F168" s="16"/>
    </row>
    <row r="169" spans="1:6">
      <c r="A169" s="16" t="s">
        <v>139</v>
      </c>
      <c r="B169" s="17">
        <v>2.5555555555555602E-5</v>
      </c>
      <c r="C169" s="16" t="s">
        <v>14</v>
      </c>
      <c r="D169" s="16"/>
      <c r="E169" s="16"/>
      <c r="F169" s="16"/>
    </row>
    <row r="170" spans="1:6">
      <c r="A170" s="16" t="s">
        <v>140</v>
      </c>
      <c r="B170" s="17">
        <v>1.11111111111111E-8</v>
      </c>
      <c r="C170" s="16" t="s">
        <v>14</v>
      </c>
      <c r="D170" s="16"/>
      <c r="E170" s="16"/>
      <c r="F170" s="16"/>
    </row>
    <row r="171" spans="1:6">
      <c r="A171" s="16" t="s">
        <v>141</v>
      </c>
      <c r="B171" s="17">
        <v>1.11111111111111E-7</v>
      </c>
      <c r="C171" s="16" t="s">
        <v>14</v>
      </c>
      <c r="D171" s="16"/>
      <c r="E171" s="16"/>
      <c r="F171" s="16"/>
    </row>
    <row r="172" spans="1:6">
      <c r="A172" s="17" t="s">
        <v>142</v>
      </c>
      <c r="B172" s="17">
        <v>1.33333333333333E-6</v>
      </c>
      <c r="C172" s="16" t="s">
        <v>14</v>
      </c>
      <c r="D172" s="16"/>
      <c r="E172" s="16"/>
      <c r="F172" s="16"/>
    </row>
    <row r="173" spans="1:6">
      <c r="A173" s="17" t="s">
        <v>143</v>
      </c>
      <c r="B173" s="17">
        <v>2.2222222222222201E-7</v>
      </c>
      <c r="C173" s="16" t="s">
        <v>14</v>
      </c>
      <c r="D173" s="16"/>
      <c r="E173" s="16"/>
      <c r="F173" s="16"/>
    </row>
    <row r="174" spans="1:6">
      <c r="A174" s="16" t="s">
        <v>144</v>
      </c>
      <c r="B174" s="17">
        <v>2.2222222222222201E-8</v>
      </c>
      <c r="C174" s="16" t="s">
        <v>14</v>
      </c>
      <c r="D174" s="16"/>
      <c r="E174" s="16"/>
      <c r="F174" s="16"/>
    </row>
    <row r="175" spans="1:6">
      <c r="A175" s="16" t="s">
        <v>120</v>
      </c>
      <c r="B175" s="17">
        <v>6.1111111111111095E-7</v>
      </c>
      <c r="C175" s="16" t="s">
        <v>14</v>
      </c>
      <c r="D175" s="16"/>
      <c r="E175" s="16"/>
      <c r="F175" s="16"/>
    </row>
    <row r="176" spans="1:6">
      <c r="A176" s="17" t="s">
        <v>147</v>
      </c>
      <c r="B176" s="17">
        <v>2.2222222222222201E-7</v>
      </c>
      <c r="C176" s="16" t="s">
        <v>14</v>
      </c>
      <c r="D176" s="16"/>
      <c r="E176" s="16"/>
      <c r="F176" s="16"/>
    </row>
    <row r="180" spans="2:6">
      <c r="B180" s="3"/>
    </row>
    <row r="181" spans="2:6">
      <c r="B181" s="3"/>
    </row>
    <row r="182" spans="2:6">
      <c r="B182" s="3"/>
    </row>
    <row r="189" spans="2:6">
      <c r="E189" s="3"/>
      <c r="F189" s="3"/>
    </row>
    <row r="190" spans="2:6">
      <c r="B190" s="3"/>
      <c r="E190" s="3"/>
      <c r="F190" s="3"/>
    </row>
    <row r="191" spans="2:6">
      <c r="B191" s="3"/>
      <c r="E191" s="3"/>
      <c r="F191" s="3"/>
    </row>
    <row r="192" spans="2:6">
      <c r="B192" s="3"/>
      <c r="E192" s="3"/>
      <c r="F192" s="3"/>
    </row>
    <row r="193" spans="1:6">
      <c r="B193" s="3"/>
      <c r="E193" s="3"/>
      <c r="F193" s="3"/>
    </row>
    <row r="194" spans="1:6">
      <c r="B194" s="3"/>
    </row>
    <row r="195" spans="1:6">
      <c r="A195" s="3"/>
    </row>
    <row r="201" spans="1:6">
      <c r="B201" s="3"/>
    </row>
    <row r="202" spans="1:6">
      <c r="B202" s="3"/>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99935-760E-44F3-8EBA-0F6678257F5A}">
  <dimension ref="A1:F379"/>
  <sheetViews>
    <sheetView topLeftCell="C54" zoomScale="85" zoomScaleNormal="85" workbookViewId="0">
      <selection activeCell="F73" sqref="F73"/>
    </sheetView>
  </sheetViews>
  <sheetFormatPr baseColWidth="10" defaultColWidth="9" defaultRowHeight="14.25"/>
  <cols>
    <col min="1" max="1" width="78.125" customWidth="1"/>
    <col min="2" max="2" width="79" customWidth="1"/>
    <col min="3" max="3" width="21.75" customWidth="1"/>
    <col min="4" max="4" width="28" customWidth="1"/>
    <col min="5" max="5" width="99.75" bestFit="1" customWidth="1"/>
    <col min="6" max="6" width="45.375" customWidth="1"/>
  </cols>
  <sheetData>
    <row r="1" spans="1:6" ht="15">
      <c r="A1" s="6" t="s">
        <v>6</v>
      </c>
      <c r="B1" s="6" t="s">
        <v>7</v>
      </c>
      <c r="C1" s="6" t="s">
        <v>8</v>
      </c>
      <c r="D1" s="6" t="s">
        <v>9</v>
      </c>
      <c r="E1" s="6" t="s">
        <v>10</v>
      </c>
      <c r="F1" s="6" t="s">
        <v>11</v>
      </c>
    </row>
    <row r="3" spans="1:6" ht="15">
      <c r="A3" s="36" t="s">
        <v>159</v>
      </c>
      <c r="B3" s="35"/>
      <c r="C3" s="35"/>
      <c r="D3" s="35"/>
      <c r="E3" s="35"/>
      <c r="F3" s="35"/>
    </row>
    <row r="4" spans="1:6">
      <c r="A4" s="35" t="s">
        <v>324</v>
      </c>
      <c r="B4" s="35">
        <v>0.1</v>
      </c>
      <c r="C4" s="35" t="s">
        <v>14</v>
      </c>
      <c r="D4" s="35"/>
      <c r="E4" s="35"/>
      <c r="F4" s="35"/>
    </row>
    <row r="5" spans="1:6">
      <c r="A5" s="35" t="s">
        <v>325</v>
      </c>
      <c r="B5" s="35">
        <v>0.24099999999999999</v>
      </c>
      <c r="C5" s="35"/>
      <c r="D5" s="35"/>
      <c r="E5" s="35"/>
      <c r="F5" s="35"/>
    </row>
    <row r="6" spans="1:6">
      <c r="A6" s="35" t="s">
        <v>160</v>
      </c>
      <c r="B6" s="35">
        <v>1.2210000000000001</v>
      </c>
      <c r="C6" s="35" t="s">
        <v>17</v>
      </c>
      <c r="D6" s="35"/>
      <c r="E6" s="35"/>
      <c r="F6" s="35"/>
    </row>
    <row r="7" spans="1:6">
      <c r="A7" s="42" t="s">
        <v>326</v>
      </c>
      <c r="B7" s="35">
        <v>0.55000000000000004</v>
      </c>
      <c r="C7" s="35"/>
      <c r="D7" s="35" t="s">
        <v>162</v>
      </c>
      <c r="E7" s="35"/>
      <c r="F7" s="35"/>
    </row>
    <row r="8" spans="1:6">
      <c r="A8" s="42" t="s">
        <v>327</v>
      </c>
      <c r="B8" s="35">
        <v>0.42799999999999999</v>
      </c>
      <c r="C8" s="35"/>
      <c r="D8" s="35" t="s">
        <v>162</v>
      </c>
      <c r="E8" s="35"/>
      <c r="F8" s="35"/>
    </row>
    <row r="9" spans="1:6">
      <c r="A9" s="42" t="s">
        <v>328</v>
      </c>
      <c r="B9" s="35">
        <v>2.1999999999999999E-2</v>
      </c>
      <c r="C9" s="35"/>
      <c r="D9" s="35" t="s">
        <v>162</v>
      </c>
      <c r="E9" s="35"/>
      <c r="F9" s="35"/>
    </row>
    <row r="10" spans="1:6">
      <c r="A10" s="42" t="s">
        <v>329</v>
      </c>
      <c r="B10" s="35">
        <v>0.79200000000000004</v>
      </c>
      <c r="C10" s="35"/>
      <c r="D10" s="35" t="s">
        <v>162</v>
      </c>
      <c r="E10" s="35"/>
      <c r="F10" s="35"/>
    </row>
    <row r="11" spans="1:6">
      <c r="A11" s="35" t="s">
        <v>166</v>
      </c>
      <c r="B11" s="35">
        <v>4.3249999999999997E-2</v>
      </c>
      <c r="C11" s="35" t="s">
        <v>14</v>
      </c>
      <c r="D11" s="35" t="s">
        <v>167</v>
      </c>
      <c r="E11" s="35"/>
      <c r="F11" s="35"/>
    </row>
    <row r="12" spans="1:6">
      <c r="A12" s="42" t="s">
        <v>330</v>
      </c>
      <c r="B12" s="35">
        <f>17.9*4</f>
        <v>71.599999999999994</v>
      </c>
      <c r="C12" s="35" t="s">
        <v>171</v>
      </c>
      <c r="D12" s="35" t="s">
        <v>172</v>
      </c>
      <c r="E12" s="35"/>
      <c r="F12" s="35"/>
    </row>
    <row r="13" spans="1:6">
      <c r="A13" s="42" t="s">
        <v>331</v>
      </c>
      <c r="B13" s="35">
        <v>0.27</v>
      </c>
      <c r="C13" s="35" t="s">
        <v>174</v>
      </c>
      <c r="D13" s="35" t="s">
        <v>172</v>
      </c>
      <c r="E13" s="35"/>
      <c r="F13" s="35"/>
    </row>
    <row r="14" spans="1:6">
      <c r="A14" s="35" t="s">
        <v>22</v>
      </c>
      <c r="B14" s="35">
        <v>1.53579</v>
      </c>
      <c r="C14" s="35" t="s">
        <v>23</v>
      </c>
      <c r="D14" s="35"/>
      <c r="E14" s="35"/>
      <c r="F14" s="35"/>
    </row>
    <row r="15" spans="1:6">
      <c r="A15" s="35" t="s">
        <v>24</v>
      </c>
      <c r="B15" s="35">
        <v>2.513E-2</v>
      </c>
      <c r="C15" s="35" t="s">
        <v>23</v>
      </c>
      <c r="D15" s="35"/>
      <c r="E15" s="35"/>
      <c r="F15" s="35"/>
    </row>
    <row r="16" spans="1:6">
      <c r="A16" s="35" t="s">
        <v>332</v>
      </c>
      <c r="B16" s="35">
        <v>19.600000000000001</v>
      </c>
      <c r="C16" s="35" t="s">
        <v>177</v>
      </c>
      <c r="D16" s="35"/>
      <c r="E16" s="35"/>
      <c r="F16" s="35"/>
    </row>
    <row r="17" spans="1:6">
      <c r="A17" s="35" t="s">
        <v>362</v>
      </c>
      <c r="B17" s="35">
        <f>1.6/100</f>
        <v>1.6E-2</v>
      </c>
      <c r="C17" s="35"/>
      <c r="D17" s="35" t="s">
        <v>172</v>
      </c>
      <c r="E17" s="35"/>
      <c r="F17" s="35"/>
    </row>
    <row r="18" spans="1:6">
      <c r="A18" s="35" t="s">
        <v>363</v>
      </c>
      <c r="B18" s="35">
        <f>8.6/100</f>
        <v>8.5999999999999993E-2</v>
      </c>
      <c r="C18" s="35"/>
      <c r="D18" s="35" t="s">
        <v>172</v>
      </c>
      <c r="E18" s="35"/>
      <c r="F18" s="35"/>
    </row>
    <row r="19" spans="1:6">
      <c r="A19" s="35" t="s">
        <v>364</v>
      </c>
      <c r="B19" s="35">
        <f>1.3/100</f>
        <v>1.3000000000000001E-2</v>
      </c>
      <c r="C19" s="35"/>
      <c r="D19" s="35" t="s">
        <v>172</v>
      </c>
      <c r="E19" s="35"/>
      <c r="F19" s="35"/>
    </row>
    <row r="20" spans="1:6">
      <c r="A20" s="35" t="s">
        <v>365</v>
      </c>
      <c r="B20" s="35">
        <v>0.114</v>
      </c>
      <c r="C20" s="35"/>
      <c r="D20" s="35"/>
      <c r="E20" s="35"/>
      <c r="F20" s="35"/>
    </row>
    <row r="21" spans="1:6">
      <c r="A21" s="35" t="s">
        <v>39</v>
      </c>
      <c r="B21" s="35">
        <v>142</v>
      </c>
      <c r="C21" s="35" t="s">
        <v>40</v>
      </c>
      <c r="D21" s="35"/>
      <c r="E21" s="35"/>
      <c r="F21" s="35"/>
    </row>
    <row r="22" spans="1:6">
      <c r="A22" s="35" t="s">
        <v>41</v>
      </c>
      <c r="B22" s="35">
        <f>39*2+16</f>
        <v>94</v>
      </c>
      <c r="C22" s="35" t="s">
        <v>40</v>
      </c>
      <c r="D22" s="35"/>
      <c r="E22" s="35"/>
      <c r="F22" s="35"/>
    </row>
    <row r="24" spans="1:6" ht="15">
      <c r="A24" s="34" t="s">
        <v>178</v>
      </c>
      <c r="B24" s="28"/>
      <c r="C24" s="28"/>
      <c r="D24" s="28"/>
      <c r="E24" s="28"/>
      <c r="F24" s="28"/>
    </row>
    <row r="25" spans="1:6" ht="15">
      <c r="A25" s="27" t="s">
        <v>44</v>
      </c>
      <c r="B25" s="28"/>
      <c r="C25" s="28"/>
      <c r="D25" s="28"/>
      <c r="E25" s="28"/>
      <c r="F25" s="28"/>
    </row>
    <row r="26" spans="1:6">
      <c r="A26" s="28" t="s">
        <v>45</v>
      </c>
      <c r="B26" s="28">
        <v>1</v>
      </c>
      <c r="C26" s="28" t="s">
        <v>46</v>
      </c>
      <c r="D26" s="28"/>
      <c r="E26" s="28"/>
      <c r="F26" s="28"/>
    </row>
    <row r="27" spans="1:6">
      <c r="A27" s="28" t="s">
        <v>47</v>
      </c>
      <c r="B27" s="28">
        <v>0.15650723831737146</v>
      </c>
      <c r="C27" s="28" t="s">
        <v>46</v>
      </c>
      <c r="D27" s="28"/>
      <c r="E27" s="28"/>
      <c r="F27" s="28"/>
    </row>
    <row r="28" spans="1:6">
      <c r="A28" s="28" t="s">
        <v>48</v>
      </c>
      <c r="B28" s="28">
        <v>1</v>
      </c>
      <c r="C28" s="28" t="s">
        <v>46</v>
      </c>
      <c r="D28" s="28"/>
      <c r="E28" s="28"/>
      <c r="F28" s="28"/>
    </row>
    <row r="29" spans="1:6">
      <c r="A29" s="28" t="s">
        <v>49</v>
      </c>
      <c r="B29" s="28">
        <v>6.2279044296606232</v>
      </c>
      <c r="C29" s="28" t="s">
        <v>46</v>
      </c>
      <c r="D29" s="28"/>
      <c r="E29" s="28"/>
      <c r="F29" s="28"/>
    </row>
    <row r="30" spans="1:6">
      <c r="A30" s="28" t="s">
        <v>51</v>
      </c>
      <c r="B30" s="28">
        <v>-6.2279044296606232</v>
      </c>
      <c r="C30" s="28" t="s">
        <v>50</v>
      </c>
      <c r="D30" s="28"/>
      <c r="E30" s="28"/>
      <c r="F30" s="28" t="s">
        <v>52</v>
      </c>
    </row>
    <row r="31" spans="1:6">
      <c r="A31" s="28" t="s">
        <v>53</v>
      </c>
      <c r="B31" s="28">
        <v>1</v>
      </c>
      <c r="C31" s="28" t="s">
        <v>46</v>
      </c>
      <c r="D31" s="28"/>
      <c r="E31" s="28"/>
      <c r="F31" s="28"/>
    </row>
    <row r="32" spans="1:6">
      <c r="A32" s="28" t="s">
        <v>54</v>
      </c>
      <c r="B32" s="29">
        <v>1</v>
      </c>
      <c r="C32" s="28" t="s">
        <v>46</v>
      </c>
      <c r="D32" s="28"/>
      <c r="E32" s="28"/>
      <c r="F32" s="28"/>
    </row>
    <row r="33" spans="1:6">
      <c r="A33" s="28" t="s">
        <v>179</v>
      </c>
      <c r="B33" s="28">
        <v>1</v>
      </c>
      <c r="C33" s="28" t="s">
        <v>46</v>
      </c>
      <c r="D33" s="28"/>
      <c r="E33" s="28"/>
      <c r="F33" s="28"/>
    </row>
    <row r="34" spans="1:6">
      <c r="A34" s="28" t="s">
        <v>180</v>
      </c>
      <c r="B34" s="28">
        <v>1</v>
      </c>
      <c r="C34" s="28" t="s">
        <v>46</v>
      </c>
      <c r="D34" s="28"/>
      <c r="E34" s="28"/>
      <c r="F34" s="28"/>
    </row>
    <row r="35" spans="1:6">
      <c r="A35" s="28" t="s">
        <v>184</v>
      </c>
      <c r="B35" s="28">
        <v>1</v>
      </c>
      <c r="C35" s="28" t="s">
        <v>46</v>
      </c>
      <c r="D35" s="28"/>
      <c r="E35" s="28"/>
      <c r="F35" s="28"/>
    </row>
    <row r="36" spans="1:6">
      <c r="A36" s="28" t="s">
        <v>185</v>
      </c>
      <c r="B36" s="29">
        <f>(B100/1000)/B14</f>
        <v>3.7161512878112839E-3</v>
      </c>
      <c r="C36" s="28" t="s">
        <v>46</v>
      </c>
      <c r="D36" s="28"/>
      <c r="E36" s="28"/>
      <c r="F36" s="28"/>
    </row>
    <row r="37" spans="1:6">
      <c r="A37" s="28" t="s">
        <v>186</v>
      </c>
      <c r="B37" s="29">
        <f>B36/B15</f>
        <v>0.14787709064111754</v>
      </c>
      <c r="C37" s="28" t="s">
        <v>46</v>
      </c>
      <c r="D37" s="28"/>
      <c r="E37" s="28"/>
      <c r="F37" s="28"/>
    </row>
    <row r="38" spans="1:6">
      <c r="A38" s="28" t="s">
        <v>366</v>
      </c>
      <c r="B38" s="29">
        <f>-B37</f>
        <v>-0.14787709064111754</v>
      </c>
      <c r="C38" s="28" t="s">
        <v>50</v>
      </c>
      <c r="D38" s="28"/>
      <c r="E38" s="28"/>
      <c r="F38" s="28" t="s">
        <v>52</v>
      </c>
    </row>
    <row r="39" spans="1:6">
      <c r="A39" s="28" t="s">
        <v>367</v>
      </c>
      <c r="B39" s="29">
        <v>-2.3553072625698331E-3</v>
      </c>
      <c r="C39" s="28" t="s">
        <v>14</v>
      </c>
      <c r="D39" s="28"/>
      <c r="E39" s="28"/>
      <c r="F39" s="28" t="s">
        <v>56</v>
      </c>
    </row>
    <row r="40" spans="1:6">
      <c r="A40" s="28" t="s">
        <v>368</v>
      </c>
      <c r="B40" s="29">
        <v>-1.0446020544242209E-3</v>
      </c>
      <c r="C40" s="28" t="s">
        <v>14</v>
      </c>
      <c r="D40" s="28"/>
      <c r="E40" s="28"/>
      <c r="F40" s="28" t="s">
        <v>58</v>
      </c>
    </row>
    <row r="41" spans="1:6">
      <c r="A41" s="28" t="s">
        <v>369</v>
      </c>
      <c r="B41" s="29">
        <v>-5.4965156854318872E-4</v>
      </c>
      <c r="C41" s="28" t="s">
        <v>14</v>
      </c>
      <c r="D41" s="28"/>
      <c r="E41" s="28"/>
      <c r="F41" s="28" t="s">
        <v>60</v>
      </c>
    </row>
    <row r="42" spans="1:6">
      <c r="A42" s="28" t="s">
        <v>370</v>
      </c>
      <c r="B42" s="29">
        <f>-B89*0.9*B17</f>
        <v>-6.6792000000000023E-4</v>
      </c>
      <c r="C42" s="28" t="s">
        <v>14</v>
      </c>
      <c r="D42" s="28"/>
      <c r="E42" s="28"/>
      <c r="F42" s="28" t="s">
        <v>56</v>
      </c>
    </row>
    <row r="43" spans="1:6">
      <c r="A43" s="28" t="s">
        <v>371</v>
      </c>
      <c r="B43" s="29">
        <f>-B89*0.9*B20*B18*(B21/62)</f>
        <v>-9.3735569612903252E-4</v>
      </c>
      <c r="C43" s="28" t="s">
        <v>14</v>
      </c>
      <c r="D43" s="28"/>
      <c r="E43" s="28"/>
      <c r="F43" s="28" t="s">
        <v>58</v>
      </c>
    </row>
    <row r="44" spans="1:6">
      <c r="A44" s="28" t="s">
        <v>372</v>
      </c>
      <c r="B44" s="29">
        <f>-B89*0.9*B20*B19*(B22/78)</f>
        <v>-7.4556570000000022E-5</v>
      </c>
      <c r="C44" s="28" t="s">
        <v>14</v>
      </c>
      <c r="D44" s="28"/>
      <c r="E44" s="28"/>
      <c r="F44" s="28" t="s">
        <v>60</v>
      </c>
    </row>
    <row r="45" spans="1:6">
      <c r="A45" s="28"/>
      <c r="B45" s="28"/>
      <c r="C45" s="28"/>
      <c r="D45" s="28"/>
      <c r="E45" s="28"/>
      <c r="F45" s="28"/>
    </row>
    <row r="46" spans="1:6" ht="15">
      <c r="A46" s="27" t="s">
        <v>61</v>
      </c>
      <c r="B46" s="28"/>
      <c r="C46" s="28"/>
      <c r="D46" s="28"/>
      <c r="E46" s="28"/>
      <c r="F46" s="28"/>
    </row>
    <row r="47" spans="1:6">
      <c r="A47" s="28" t="s">
        <v>62</v>
      </c>
      <c r="B47" s="28">
        <v>1</v>
      </c>
      <c r="C47" s="28" t="s">
        <v>14</v>
      </c>
      <c r="D47" s="28"/>
      <c r="E47" s="28"/>
      <c r="F47" s="28"/>
    </row>
    <row r="49" spans="1:6" ht="15">
      <c r="A49" s="1" t="s">
        <v>317</v>
      </c>
    </row>
    <row r="50" spans="1:6" ht="15">
      <c r="A50" s="31" t="s">
        <v>333</v>
      </c>
      <c r="B50" s="19"/>
      <c r="C50" s="19"/>
      <c r="D50" s="19"/>
      <c r="E50" s="19"/>
      <c r="F50" s="19"/>
    </row>
    <row r="51" spans="1:6" ht="15">
      <c r="A51" s="18" t="s">
        <v>44</v>
      </c>
      <c r="B51" s="19"/>
      <c r="C51" s="19"/>
      <c r="D51" s="19"/>
      <c r="E51" s="19"/>
      <c r="F51" s="19"/>
    </row>
    <row r="52" spans="1:6">
      <c r="A52" s="19" t="s">
        <v>64</v>
      </c>
      <c r="B52" s="19">
        <f>20/1500</f>
        <v>1.3333333333333334E-2</v>
      </c>
      <c r="C52" s="19" t="s">
        <v>65</v>
      </c>
      <c r="D52" s="19"/>
      <c r="E52" s="19" t="s">
        <v>75</v>
      </c>
      <c r="F52" s="19" t="s">
        <v>68</v>
      </c>
    </row>
    <row r="53" spans="1:6">
      <c r="A53" s="19" t="s">
        <v>69</v>
      </c>
      <c r="B53" s="19">
        <f>2000/(20*3000*1500)</f>
        <v>2.2222222222222223E-5</v>
      </c>
      <c r="C53" s="19" t="s">
        <v>70</v>
      </c>
      <c r="D53" s="19"/>
      <c r="E53" s="19"/>
      <c r="F53" s="19" t="s">
        <v>72</v>
      </c>
    </row>
    <row r="54" spans="1:6">
      <c r="A54" s="19"/>
      <c r="B54" s="19"/>
      <c r="C54" s="19"/>
      <c r="D54" s="19"/>
      <c r="E54" s="19"/>
      <c r="F54" s="19"/>
    </row>
    <row r="55" spans="1:6" ht="15">
      <c r="A55" s="18" t="s">
        <v>76</v>
      </c>
      <c r="B55" s="19"/>
      <c r="C55" s="19"/>
      <c r="D55" s="19"/>
      <c r="E55" s="19"/>
      <c r="F55" s="19"/>
    </row>
    <row r="56" spans="1:6">
      <c r="A56" s="19" t="s">
        <v>53</v>
      </c>
      <c r="B56" s="19">
        <v>1</v>
      </c>
      <c r="C56" s="19" t="s">
        <v>73</v>
      </c>
      <c r="D56" s="19"/>
      <c r="E56" s="19"/>
      <c r="F56" s="19"/>
    </row>
    <row r="57" spans="1:6">
      <c r="A57" s="43" t="s">
        <v>334</v>
      </c>
      <c r="B57" s="43">
        <v>0.1</v>
      </c>
      <c r="C57" s="43" t="s">
        <v>14</v>
      </c>
      <c r="D57" s="19"/>
      <c r="E57" s="19"/>
      <c r="F57" s="19" t="s">
        <v>78</v>
      </c>
    </row>
    <row r="59" spans="1:6" ht="15">
      <c r="A59" s="18" t="s">
        <v>189</v>
      </c>
      <c r="B59" s="19"/>
      <c r="C59" s="19"/>
      <c r="D59" s="19"/>
      <c r="E59" s="19"/>
      <c r="F59" s="19"/>
    </row>
    <row r="60" spans="1:6" ht="15">
      <c r="A60" s="18" t="s">
        <v>44</v>
      </c>
      <c r="B60" s="19"/>
      <c r="C60" s="19"/>
      <c r="D60" s="19"/>
      <c r="E60" s="19"/>
      <c r="F60" s="19"/>
    </row>
    <row r="61" spans="1:6">
      <c r="A61" s="19" t="s">
        <v>85</v>
      </c>
      <c r="B61" s="19">
        <v>4.8703624122618545E-3</v>
      </c>
      <c r="C61" s="19" t="s">
        <v>65</v>
      </c>
      <c r="D61" s="19" t="s">
        <v>97</v>
      </c>
      <c r="E61" s="19" t="s">
        <v>98</v>
      </c>
      <c r="F61" s="19" t="s">
        <v>68</v>
      </c>
    </row>
    <row r="62" spans="1:6">
      <c r="A62" s="19" t="s">
        <v>99</v>
      </c>
      <c r="B62" s="20">
        <v>6.4102564102564103E-5</v>
      </c>
      <c r="C62" s="19" t="s">
        <v>14</v>
      </c>
      <c r="D62" s="19" t="s">
        <v>100</v>
      </c>
      <c r="E62" s="19" t="s">
        <v>101</v>
      </c>
      <c r="F62" s="19" t="s">
        <v>72</v>
      </c>
    </row>
    <row r="63" spans="1:6">
      <c r="A63" s="19"/>
      <c r="B63" s="19"/>
      <c r="C63" s="19"/>
      <c r="D63" s="19"/>
      <c r="E63" s="19"/>
      <c r="F63" s="19"/>
    </row>
    <row r="64" spans="1:6" ht="15">
      <c r="A64" s="18" t="s">
        <v>76</v>
      </c>
      <c r="B64" s="19"/>
      <c r="C64" s="19"/>
      <c r="D64" s="19"/>
      <c r="E64" s="19"/>
      <c r="F64" s="19"/>
    </row>
    <row r="65" spans="1:6">
      <c r="A65" s="19" t="s">
        <v>189</v>
      </c>
      <c r="B65" s="19">
        <v>1</v>
      </c>
      <c r="C65" s="19" t="s">
        <v>46</v>
      </c>
      <c r="D65" s="19"/>
      <c r="E65" s="19"/>
      <c r="F65" s="19"/>
    </row>
    <row r="66" spans="1:6">
      <c r="A66" s="19" t="s">
        <v>190</v>
      </c>
      <c r="B66" s="20">
        <f>0.253258845437616/1000</f>
        <v>2.5325884543761599E-4</v>
      </c>
      <c r="C66" s="19" t="s">
        <v>23</v>
      </c>
      <c r="D66" s="19"/>
      <c r="E66" s="19"/>
      <c r="F66" s="19" t="s">
        <v>104</v>
      </c>
    </row>
    <row r="67" spans="1:6">
      <c r="A67" s="19" t="s">
        <v>105</v>
      </c>
      <c r="B67" s="20">
        <v>0.2532588454376164</v>
      </c>
      <c r="C67" s="19" t="s">
        <v>14</v>
      </c>
      <c r="D67" s="19"/>
      <c r="E67" s="19"/>
      <c r="F67" s="19"/>
    </row>
    <row r="69" spans="1:6" ht="15">
      <c r="A69" s="15" t="s">
        <v>335</v>
      </c>
      <c r="B69" s="16"/>
      <c r="C69" s="16"/>
      <c r="D69" s="16"/>
      <c r="E69" s="16"/>
      <c r="F69" s="16"/>
    </row>
    <row r="70" spans="1:6" ht="15">
      <c r="A70" s="15" t="s">
        <v>44</v>
      </c>
      <c r="B70" s="16"/>
      <c r="C70" s="16"/>
      <c r="D70" s="16"/>
      <c r="E70" s="16"/>
      <c r="F70" s="16"/>
    </row>
    <row r="71" spans="1:6">
      <c r="A71" s="16" t="s">
        <v>64</v>
      </c>
      <c r="B71" s="17">
        <f>0.3*(B4+B73)</f>
        <v>0.11385000000000001</v>
      </c>
      <c r="C71" s="16" t="s">
        <v>65</v>
      </c>
      <c r="D71" s="16"/>
      <c r="E71" s="16" t="s">
        <v>321</v>
      </c>
      <c r="F71" s="16" t="s">
        <v>68</v>
      </c>
    </row>
    <row r="72" spans="1:6">
      <c r="A72" s="16" t="s">
        <v>99</v>
      </c>
      <c r="B72" s="17">
        <v>2.2222222222222223E-5</v>
      </c>
      <c r="C72" s="16" t="s">
        <v>70</v>
      </c>
      <c r="D72" s="16"/>
      <c r="E72" s="16" t="s">
        <v>198</v>
      </c>
      <c r="F72" s="16" t="s">
        <v>72</v>
      </c>
    </row>
    <row r="73" spans="1:6">
      <c r="A73" s="16" t="s">
        <v>349</v>
      </c>
      <c r="B73" s="17">
        <f>(B4*(1-B5)-B4*0.2)/0.2</f>
        <v>0.27950000000000003</v>
      </c>
      <c r="C73" s="16" t="s">
        <v>14</v>
      </c>
      <c r="D73" s="16"/>
      <c r="E73" s="16" t="s">
        <v>200</v>
      </c>
      <c r="F73" s="16" t="s">
        <v>201</v>
      </c>
    </row>
    <row r="74" spans="1:6">
      <c r="A74" s="16"/>
      <c r="B74" s="16"/>
      <c r="C74" s="16"/>
      <c r="D74" s="16"/>
      <c r="E74" s="16"/>
      <c r="F74" s="16"/>
    </row>
    <row r="75" spans="1:6" ht="15">
      <c r="A75" s="15" t="s">
        <v>61</v>
      </c>
      <c r="B75" s="16"/>
      <c r="C75" s="16"/>
      <c r="D75" s="16"/>
      <c r="E75" s="16"/>
      <c r="F75" s="16"/>
    </row>
    <row r="76" spans="1:6">
      <c r="A76" s="16" t="s">
        <v>336</v>
      </c>
      <c r="B76" s="16">
        <v>1</v>
      </c>
      <c r="C76" s="16" t="s">
        <v>46</v>
      </c>
      <c r="D76" s="16"/>
      <c r="E76" s="16"/>
      <c r="F76" s="16"/>
    </row>
    <row r="77" spans="1:6">
      <c r="A77" s="16" t="s">
        <v>203</v>
      </c>
      <c r="B77" s="17">
        <f>B4*(1-B5)*B7/(1-B10)</f>
        <v>0.20069711538461549</v>
      </c>
      <c r="C77" s="16" t="s">
        <v>14</v>
      </c>
      <c r="D77" s="16"/>
      <c r="E77" s="16"/>
      <c r="F77" s="16"/>
    </row>
    <row r="78" spans="1:6">
      <c r="A78" s="16" t="s">
        <v>204</v>
      </c>
      <c r="B78" s="17">
        <f>(B4+B73)-(B77+B79+B80)</f>
        <v>0.17713308461538457</v>
      </c>
      <c r="C78" s="16" t="s">
        <v>14</v>
      </c>
      <c r="D78" s="16"/>
      <c r="E78" s="16"/>
      <c r="F78" s="16"/>
    </row>
    <row r="79" spans="1:6">
      <c r="A79" s="16" t="s">
        <v>92</v>
      </c>
      <c r="B79" s="17">
        <f>B4*(1-B5)*B9*0.95</f>
        <v>1.5863100000000001E-3</v>
      </c>
      <c r="C79" s="16" t="s">
        <v>14</v>
      </c>
      <c r="D79" s="16"/>
      <c r="E79" s="16" t="s">
        <v>205</v>
      </c>
      <c r="F79" s="16"/>
    </row>
    <row r="80" spans="1:6">
      <c r="A80" s="16" t="s">
        <v>133</v>
      </c>
      <c r="B80" s="17">
        <f>B4*(1-B5)*B9*0.05</f>
        <v>8.3490000000000015E-5</v>
      </c>
      <c r="C80" s="16" t="s">
        <v>14</v>
      </c>
      <c r="D80" s="16"/>
      <c r="E80" s="16"/>
      <c r="F80" s="16"/>
    </row>
    <row r="82" spans="1:6" ht="15">
      <c r="A82" s="12" t="s">
        <v>206</v>
      </c>
      <c r="B82" s="11"/>
      <c r="C82" s="11"/>
      <c r="D82" s="11"/>
      <c r="E82" s="11"/>
      <c r="F82" s="11"/>
    </row>
    <row r="83" spans="1:6" ht="15">
      <c r="A83" s="12" t="s">
        <v>44</v>
      </c>
      <c r="B83" s="11"/>
      <c r="C83" s="11"/>
      <c r="D83" s="11"/>
      <c r="E83" s="11"/>
      <c r="F83" s="11"/>
    </row>
    <row r="84" spans="1:6">
      <c r="A84" s="11" t="s">
        <v>64</v>
      </c>
      <c r="B84" s="14">
        <f>(B77 - (B77 * (1 - B10) / (1 - 0.1))) * (2260 / (0.7 * 3600))</f>
        <v>0.13839251882376893</v>
      </c>
      <c r="C84" s="11" t="s">
        <v>65</v>
      </c>
      <c r="D84" s="11"/>
      <c r="E84" s="11" t="s">
        <v>207</v>
      </c>
      <c r="F84" s="11" t="s">
        <v>68</v>
      </c>
    </row>
    <row r="85" spans="1:6">
      <c r="A85" s="11" t="s">
        <v>208</v>
      </c>
      <c r="B85" s="14">
        <v>2.1367521367521368E-5</v>
      </c>
      <c r="C85" s="11" t="s">
        <v>14</v>
      </c>
      <c r="D85" s="11"/>
      <c r="E85" s="11" t="s">
        <v>209</v>
      </c>
      <c r="F85" s="11" t="s">
        <v>72</v>
      </c>
    </row>
    <row r="86" spans="1:6">
      <c r="A86" s="11"/>
      <c r="B86" s="11"/>
      <c r="C86" s="11"/>
      <c r="D86" s="11"/>
      <c r="E86" s="11"/>
      <c r="F86" s="11"/>
    </row>
    <row r="87" spans="1:6" ht="15">
      <c r="A87" s="12" t="s">
        <v>61</v>
      </c>
      <c r="B87" s="11"/>
      <c r="C87" s="11"/>
      <c r="D87" s="11"/>
      <c r="E87" s="11"/>
      <c r="F87" s="11"/>
    </row>
    <row r="88" spans="1:6">
      <c r="A88" s="11" t="s">
        <v>180</v>
      </c>
      <c r="B88" s="11">
        <v>1</v>
      </c>
      <c r="C88" s="11" t="s">
        <v>46</v>
      </c>
      <c r="D88" s="11"/>
      <c r="E88" s="11"/>
      <c r="F88" s="11"/>
    </row>
    <row r="89" spans="1:6">
      <c r="A89" s="11" t="s">
        <v>210</v>
      </c>
      <c r="B89" s="14">
        <f>(B77*(1-B10))/0.9</f>
        <v>4.6383333333333346E-2</v>
      </c>
      <c r="C89" s="11" t="s">
        <v>14</v>
      </c>
      <c r="D89" s="11"/>
      <c r="E89" s="11"/>
      <c r="F89" s="11"/>
    </row>
    <row r="90" spans="1:6">
      <c r="A90" s="11" t="s">
        <v>212</v>
      </c>
      <c r="B90" s="14">
        <f>(B77-B89)/1000</f>
        <v>1.5431378205128216E-4</v>
      </c>
      <c r="C90" s="11" t="s">
        <v>23</v>
      </c>
      <c r="D90" s="11"/>
      <c r="E90" s="11" t="s">
        <v>322</v>
      </c>
      <c r="F90" s="11" t="s">
        <v>104</v>
      </c>
    </row>
    <row r="92" spans="1:6" ht="15">
      <c r="A92" s="27" t="s">
        <v>184</v>
      </c>
      <c r="B92" s="39" t="s">
        <v>80</v>
      </c>
      <c r="C92" s="29">
        <v>1</v>
      </c>
      <c r="D92" s="28"/>
      <c r="E92" s="28" t="s">
        <v>286</v>
      </c>
      <c r="F92" s="28"/>
    </row>
    <row r="93" spans="1:6" ht="15">
      <c r="A93" s="27" t="s">
        <v>44</v>
      </c>
      <c r="B93" s="28"/>
      <c r="C93" s="28"/>
      <c r="D93" s="28"/>
      <c r="E93" s="28"/>
      <c r="F93" s="28"/>
    </row>
    <row r="94" spans="1:6">
      <c r="A94" s="28" t="s">
        <v>287</v>
      </c>
      <c r="B94" s="28">
        <v>0</v>
      </c>
      <c r="C94" s="28" t="s">
        <v>73</v>
      </c>
      <c r="D94" s="28"/>
      <c r="E94" s="28"/>
      <c r="F94" s="28" t="s">
        <v>84</v>
      </c>
    </row>
    <row r="95" spans="1:6">
      <c r="A95" s="28" t="s">
        <v>85</v>
      </c>
      <c r="B95" s="28">
        <v>0</v>
      </c>
      <c r="C95" s="28" t="s">
        <v>65</v>
      </c>
      <c r="D95" s="28"/>
      <c r="E95" s="28"/>
      <c r="F95" s="28" t="s">
        <v>68</v>
      </c>
    </row>
    <row r="96" spans="1:6">
      <c r="A96" s="28" t="s">
        <v>288</v>
      </c>
      <c r="B96" s="28">
        <v>0</v>
      </c>
      <c r="C96" s="28" t="s">
        <v>50</v>
      </c>
      <c r="D96" s="28"/>
      <c r="E96" s="28"/>
      <c r="F96" s="28" t="s">
        <v>88</v>
      </c>
    </row>
    <row r="97" spans="1:6">
      <c r="A97" s="28"/>
      <c r="B97" s="28"/>
      <c r="C97" s="28"/>
      <c r="D97" s="28"/>
      <c r="E97" s="28"/>
      <c r="F97" s="28"/>
    </row>
    <row r="98" spans="1:6" ht="15">
      <c r="A98" s="27" t="s">
        <v>76</v>
      </c>
      <c r="B98" s="28"/>
      <c r="C98" s="28"/>
      <c r="D98" s="28"/>
      <c r="E98" s="28"/>
      <c r="F98" s="28"/>
    </row>
    <row r="99" spans="1:6">
      <c r="A99" s="28" t="s">
        <v>45</v>
      </c>
      <c r="B99" s="28">
        <v>1</v>
      </c>
      <c r="C99" s="28" t="s">
        <v>73</v>
      </c>
      <c r="D99" s="28"/>
      <c r="E99" s="28"/>
      <c r="F99" s="28"/>
    </row>
    <row r="100" spans="1:6">
      <c r="A100" s="28" t="s">
        <v>289</v>
      </c>
      <c r="B100" s="29">
        <f>B13*B12*B78/0.6</f>
        <v>5.7072279863076911</v>
      </c>
      <c r="C100" s="28" t="s">
        <v>290</v>
      </c>
      <c r="D100" s="28"/>
      <c r="E100" s="28"/>
      <c r="F100" s="28"/>
    </row>
    <row r="101" spans="1:6">
      <c r="A101" s="28" t="s">
        <v>291</v>
      </c>
      <c r="B101" s="37">
        <f>B78-B114</f>
        <v>0.17020699157118452</v>
      </c>
      <c r="C101" s="28" t="s">
        <v>14</v>
      </c>
      <c r="D101" s="28"/>
      <c r="E101" s="28"/>
      <c r="F101" s="28" t="s">
        <v>104</v>
      </c>
    </row>
    <row r="102" spans="1:6">
      <c r="A102" s="28" t="s">
        <v>91</v>
      </c>
      <c r="B102" s="28">
        <v>0</v>
      </c>
      <c r="C102" s="29" t="s">
        <v>14</v>
      </c>
      <c r="D102" s="28"/>
      <c r="E102" s="28"/>
      <c r="F102" s="28"/>
    </row>
    <row r="103" spans="1:6">
      <c r="A103" s="28" t="s">
        <v>92</v>
      </c>
      <c r="B103" s="28">
        <v>0</v>
      </c>
      <c r="C103" s="29" t="s">
        <v>14</v>
      </c>
      <c r="D103" s="28"/>
      <c r="E103" s="28"/>
      <c r="F103" s="28"/>
    </row>
    <row r="104" spans="1:6">
      <c r="A104" s="28" t="s">
        <v>93</v>
      </c>
      <c r="B104" s="28">
        <v>0</v>
      </c>
      <c r="C104" s="29" t="s">
        <v>14</v>
      </c>
      <c r="D104" s="28"/>
      <c r="E104" s="28"/>
      <c r="F104" s="28"/>
    </row>
    <row r="105" spans="1:6">
      <c r="A105" s="28" t="s">
        <v>94</v>
      </c>
      <c r="B105" s="28">
        <v>0</v>
      </c>
      <c r="C105" s="29" t="s">
        <v>14</v>
      </c>
      <c r="D105" s="28"/>
      <c r="E105" s="28"/>
      <c r="F105" s="28"/>
    </row>
    <row r="106" spans="1:6">
      <c r="A106" s="28" t="s">
        <v>95</v>
      </c>
      <c r="B106" s="28">
        <v>0</v>
      </c>
      <c r="C106" s="29" t="s">
        <v>14</v>
      </c>
      <c r="D106" s="28"/>
      <c r="E106" s="28"/>
      <c r="F106" s="28"/>
    </row>
    <row r="108" spans="1:6" ht="15">
      <c r="A108" s="4" t="s">
        <v>293</v>
      </c>
      <c r="B108" s="2"/>
      <c r="C108" s="2"/>
      <c r="D108" s="2"/>
      <c r="E108" s="2"/>
      <c r="F108" s="2"/>
    </row>
    <row r="109" spans="1:6">
      <c r="A109" s="5" t="s">
        <v>337</v>
      </c>
      <c r="B109" s="5">
        <f>B13*B12*B78/0.6</f>
        <v>5.7072279863076911</v>
      </c>
      <c r="C109" s="5" t="s">
        <v>295</v>
      </c>
      <c r="D109" s="2"/>
      <c r="E109" s="2"/>
      <c r="F109" s="2"/>
    </row>
    <row r="110" spans="1:6">
      <c r="A110" s="2" t="s">
        <v>296</v>
      </c>
      <c r="B110" s="2"/>
      <c r="C110" s="2"/>
      <c r="D110" s="2"/>
      <c r="E110" s="5"/>
      <c r="F110" s="2"/>
    </row>
    <row r="111" spans="1:6">
      <c r="A111" s="2" t="s">
        <v>297</v>
      </c>
      <c r="B111" s="5">
        <f>B78</f>
        <v>0.17713308461538457</v>
      </c>
      <c r="C111" s="5" t="s">
        <v>14</v>
      </c>
      <c r="D111" s="5"/>
      <c r="E111" s="5"/>
      <c r="F111" s="2"/>
    </row>
    <row r="112" spans="1:6">
      <c r="A112" s="2" t="s">
        <v>298</v>
      </c>
      <c r="B112" s="5">
        <f>(1*B100)/(0.0821*273)</f>
        <v>0.25463577368382567</v>
      </c>
      <c r="C112" s="2"/>
      <c r="D112" s="5"/>
      <c r="E112" s="5"/>
      <c r="F112" s="2"/>
    </row>
    <row r="113" spans="1:6">
      <c r="A113" s="2" t="s">
        <v>299</v>
      </c>
      <c r="B113" s="2">
        <f>16*0.6+44*0.4</f>
        <v>27.200000000000003</v>
      </c>
      <c r="C113" s="2" t="s">
        <v>40</v>
      </c>
      <c r="D113" s="2"/>
      <c r="E113" s="2"/>
      <c r="F113" s="2"/>
    </row>
    <row r="114" spans="1:6">
      <c r="A114" s="2" t="s">
        <v>300</v>
      </c>
      <c r="B114" s="5">
        <f>B113*B112/1000</f>
        <v>6.9260930442000598E-3</v>
      </c>
      <c r="C114" s="2" t="s">
        <v>14</v>
      </c>
      <c r="D114" s="2"/>
      <c r="E114" s="2"/>
      <c r="F114" s="2"/>
    </row>
    <row r="115" spans="1:6" ht="20.25">
      <c r="A115" s="2" t="s">
        <v>301</v>
      </c>
      <c r="B115" s="5">
        <f>B111-B114</f>
        <v>0.17020699157118452</v>
      </c>
      <c r="C115" s="2" t="s">
        <v>14</v>
      </c>
      <c r="D115" s="2"/>
      <c r="E115" s="40"/>
      <c r="F115" s="2"/>
    </row>
    <row r="116" spans="1:6">
      <c r="A116" s="2" t="s">
        <v>302</v>
      </c>
      <c r="B116" s="5">
        <f>(B78*B6)/B114</f>
        <v>31.226767375944792</v>
      </c>
      <c r="C116" s="2" t="s">
        <v>14</v>
      </c>
      <c r="D116" s="2"/>
      <c r="E116" s="2"/>
      <c r="F116" s="2"/>
    </row>
    <row r="118" spans="1:6" ht="15">
      <c r="A118" s="33" t="s">
        <v>303</v>
      </c>
      <c r="B118" s="24"/>
      <c r="C118" s="25"/>
      <c r="D118" s="24" t="s">
        <v>108</v>
      </c>
      <c r="E118" s="25"/>
      <c r="F118" s="25"/>
    </row>
    <row r="119" spans="1:6" ht="15">
      <c r="A119" s="24" t="s">
        <v>44</v>
      </c>
      <c r="B119" s="25"/>
      <c r="C119" s="25"/>
      <c r="D119" s="25"/>
      <c r="E119" s="25"/>
      <c r="F119" s="25"/>
    </row>
    <row r="120" spans="1:6">
      <c r="A120" s="25" t="s">
        <v>109</v>
      </c>
      <c r="B120" s="26">
        <v>2.0799999999999999E-4</v>
      </c>
      <c r="C120" s="25" t="s">
        <v>14</v>
      </c>
      <c r="D120" s="25"/>
      <c r="E120" s="25"/>
      <c r="F120" s="25" t="s">
        <v>110</v>
      </c>
    </row>
    <row r="121" spans="1:6">
      <c r="A121" s="25" t="s">
        <v>111</v>
      </c>
      <c r="B121" s="26">
        <v>5.4000000000000001E-11</v>
      </c>
      <c r="C121" s="25" t="s">
        <v>46</v>
      </c>
      <c r="D121" s="25"/>
      <c r="E121" s="25"/>
      <c r="F121" s="25" t="s">
        <v>112</v>
      </c>
    </row>
    <row r="122" spans="1:6">
      <c r="A122" s="25" t="s">
        <v>85</v>
      </c>
      <c r="B122" s="25">
        <v>0.18562874251497</v>
      </c>
      <c r="C122" s="25" t="s">
        <v>86</v>
      </c>
      <c r="D122" s="25"/>
      <c r="E122" s="25"/>
      <c r="F122" s="25" t="s">
        <v>68</v>
      </c>
    </row>
    <row r="123" spans="1:6">
      <c r="A123" s="25" t="s">
        <v>113</v>
      </c>
      <c r="B123" s="26">
        <v>1.4999999999999999E-4</v>
      </c>
      <c r="C123" s="25" t="s">
        <v>14</v>
      </c>
      <c r="D123" s="25"/>
      <c r="E123" s="25"/>
      <c r="F123" s="25" t="s">
        <v>114</v>
      </c>
    </row>
    <row r="124" spans="1:6">
      <c r="A124" s="25" t="s">
        <v>115</v>
      </c>
      <c r="B124" s="26">
        <v>3.98E-6</v>
      </c>
      <c r="C124" s="25" t="s">
        <v>14</v>
      </c>
      <c r="D124" s="25"/>
      <c r="E124" s="25"/>
      <c r="F124" s="25" t="s">
        <v>116</v>
      </c>
    </row>
    <row r="125" spans="1:6">
      <c r="A125" s="25"/>
      <c r="B125" s="26"/>
      <c r="C125" s="25"/>
      <c r="D125" s="25"/>
      <c r="E125" s="25"/>
      <c r="F125" s="25"/>
    </row>
    <row r="126" spans="1:6" ht="15">
      <c r="A126" s="24" t="s">
        <v>61</v>
      </c>
      <c r="B126" s="25"/>
      <c r="C126" s="25"/>
      <c r="D126" s="25"/>
      <c r="E126" s="25"/>
      <c r="F126" s="25"/>
    </row>
    <row r="127" spans="1:6">
      <c r="A127" s="25" t="s">
        <v>47</v>
      </c>
      <c r="B127" s="25">
        <v>1</v>
      </c>
      <c r="C127" s="25" t="s">
        <v>46</v>
      </c>
      <c r="D127" s="25"/>
      <c r="E127" s="25"/>
      <c r="F127" s="25"/>
    </row>
    <row r="128" spans="1:6">
      <c r="A128" s="25" t="s">
        <v>117</v>
      </c>
      <c r="B128" s="25">
        <v>1</v>
      </c>
      <c r="C128" s="25" t="s">
        <v>23</v>
      </c>
      <c r="D128" s="25"/>
      <c r="E128" s="25"/>
      <c r="F128" s="25"/>
    </row>
    <row r="129" spans="1:6">
      <c r="A129" s="25" t="s">
        <v>92</v>
      </c>
      <c r="B129" s="26">
        <v>0.97457000000000005</v>
      </c>
      <c r="C129" s="25" t="s">
        <v>14</v>
      </c>
      <c r="D129" s="25"/>
      <c r="E129" s="25"/>
      <c r="F129" s="25"/>
    </row>
    <row r="130" spans="1:6">
      <c r="A130" s="25" t="s">
        <v>118</v>
      </c>
      <c r="B130" s="26">
        <v>1.28</v>
      </c>
      <c r="C130" s="25" t="s">
        <v>50</v>
      </c>
      <c r="D130" s="25"/>
      <c r="E130" s="25"/>
      <c r="F130" s="25"/>
    </row>
    <row r="131" spans="1:6">
      <c r="A131" s="25" t="s">
        <v>94</v>
      </c>
      <c r="B131" s="26">
        <v>6.7000000000000002E-6</v>
      </c>
      <c r="C131" s="25" t="s">
        <v>14</v>
      </c>
      <c r="D131" s="25"/>
      <c r="E131" s="25"/>
      <c r="F131" s="25"/>
    </row>
    <row r="132" spans="1:6">
      <c r="A132" s="25" t="s">
        <v>95</v>
      </c>
      <c r="B132" s="25">
        <v>8.6E-3</v>
      </c>
      <c r="C132" s="25" t="s">
        <v>14</v>
      </c>
      <c r="D132" s="25"/>
      <c r="E132" s="25"/>
      <c r="F132" s="25"/>
    </row>
    <row r="133" spans="1:6">
      <c r="A133" s="25" t="s">
        <v>119</v>
      </c>
      <c r="B133" s="25">
        <v>4.8779999999999997E-2</v>
      </c>
      <c r="C133" s="25" t="s">
        <v>14</v>
      </c>
      <c r="D133" s="25"/>
      <c r="E133" s="25"/>
      <c r="F133" s="25"/>
    </row>
    <row r="134" spans="1:6">
      <c r="A134" s="25" t="s">
        <v>120</v>
      </c>
      <c r="B134" s="26">
        <v>6.5989999999999998E-6</v>
      </c>
      <c r="C134" s="25" t="s">
        <v>14</v>
      </c>
      <c r="D134" s="25"/>
      <c r="E134" s="25"/>
      <c r="F134" s="25"/>
    </row>
    <row r="136" spans="1:6" ht="15">
      <c r="A136" s="34" t="s">
        <v>186</v>
      </c>
      <c r="B136" s="28"/>
      <c r="C136" s="28"/>
      <c r="D136" s="27" t="s">
        <v>121</v>
      </c>
      <c r="E136" s="28"/>
      <c r="F136" s="28"/>
    </row>
    <row r="137" spans="1:6" ht="15">
      <c r="A137" s="27" t="s">
        <v>44</v>
      </c>
      <c r="B137" s="28"/>
      <c r="C137" s="28"/>
      <c r="D137" s="28"/>
      <c r="E137" s="28"/>
      <c r="F137" s="28"/>
    </row>
    <row r="138" spans="1:6">
      <c r="A138" s="28" t="s">
        <v>85</v>
      </c>
      <c r="B138" s="28">
        <v>2.7244000000000001E-3</v>
      </c>
      <c r="C138" s="28" t="s">
        <v>86</v>
      </c>
      <c r="D138" s="28"/>
      <c r="E138" s="28"/>
      <c r="F138" s="28" t="s">
        <v>68</v>
      </c>
    </row>
    <row r="139" spans="1:6">
      <c r="A139" s="28" t="s">
        <v>122</v>
      </c>
      <c r="B139" s="29">
        <v>6.4679999999999999E-7</v>
      </c>
      <c r="C139" s="28" t="s">
        <v>46</v>
      </c>
      <c r="D139" s="28"/>
      <c r="E139" s="28"/>
      <c r="F139" s="28" t="s">
        <v>123</v>
      </c>
    </row>
    <row r="140" spans="1:6">
      <c r="A140" s="28"/>
      <c r="B140" s="28"/>
      <c r="C140" s="28"/>
      <c r="D140" s="28"/>
      <c r="E140" s="28"/>
      <c r="F140" s="28"/>
    </row>
    <row r="141" spans="1:6" ht="15">
      <c r="A141" s="27" t="s">
        <v>61</v>
      </c>
      <c r="B141" s="28"/>
      <c r="C141" s="28"/>
      <c r="D141" s="28"/>
      <c r="E141" s="28"/>
      <c r="F141" s="28"/>
    </row>
    <row r="142" spans="1:6">
      <c r="A142" s="28" t="s">
        <v>124</v>
      </c>
      <c r="B142" s="28">
        <v>1</v>
      </c>
      <c r="C142" s="28" t="s">
        <v>46</v>
      </c>
      <c r="D142" s="28"/>
      <c r="E142" s="28"/>
      <c r="F142" s="28"/>
    </row>
    <row r="143" spans="1:6">
      <c r="A143" s="28" t="s">
        <v>125</v>
      </c>
      <c r="B143" s="28">
        <v>0</v>
      </c>
      <c r="C143" s="28" t="s">
        <v>50</v>
      </c>
      <c r="D143" s="28"/>
      <c r="E143" s="28" t="s">
        <v>126</v>
      </c>
      <c r="F143" s="28"/>
    </row>
    <row r="144" spans="1:6">
      <c r="A144" s="28" t="s">
        <v>128</v>
      </c>
      <c r="B144" s="29">
        <v>9.7999999999999992E-10</v>
      </c>
      <c r="C144" s="28" t="s">
        <v>14</v>
      </c>
      <c r="D144" s="28"/>
      <c r="E144" s="28"/>
      <c r="F144" s="28"/>
    </row>
    <row r="145" spans="1:6">
      <c r="A145" s="28" t="s">
        <v>129</v>
      </c>
      <c r="B145" s="29">
        <v>1.4700000000000001E-7</v>
      </c>
      <c r="C145" s="28" t="s">
        <v>14</v>
      </c>
      <c r="D145" s="28"/>
      <c r="E145" s="28"/>
      <c r="F145" s="28"/>
    </row>
    <row r="146" spans="1:6">
      <c r="A146" s="28" t="s">
        <v>130</v>
      </c>
      <c r="B146" s="29">
        <v>3.9200000000000002E-7</v>
      </c>
      <c r="C146" s="28" t="s">
        <v>14</v>
      </c>
      <c r="D146" s="28"/>
      <c r="E146" s="28"/>
      <c r="F146" s="28"/>
    </row>
    <row r="147" spans="1:6">
      <c r="A147" s="28" t="s">
        <v>131</v>
      </c>
      <c r="B147" s="29">
        <v>9.7999999999999994E-12</v>
      </c>
      <c r="C147" s="28" t="s">
        <v>14</v>
      </c>
      <c r="D147" s="28"/>
      <c r="E147" s="28"/>
      <c r="F147" s="28"/>
    </row>
    <row r="148" spans="1:6">
      <c r="A148" s="28" t="s">
        <v>132</v>
      </c>
      <c r="B148" s="29">
        <v>6.8599999999999998E-7</v>
      </c>
      <c r="C148" s="28" t="s">
        <v>14</v>
      </c>
      <c r="D148" s="28"/>
      <c r="E148" s="28"/>
      <c r="F148" s="28"/>
    </row>
    <row r="149" spans="1:6">
      <c r="A149" s="28" t="s">
        <v>92</v>
      </c>
      <c r="B149" s="28">
        <v>5.4879999999999998E-2</v>
      </c>
      <c r="C149" s="28" t="s">
        <v>14</v>
      </c>
      <c r="D149" s="28"/>
      <c r="E149" s="28"/>
      <c r="F149" s="28"/>
    </row>
    <row r="150" spans="1:6">
      <c r="A150" s="28" t="s">
        <v>133</v>
      </c>
      <c r="B150" s="29">
        <v>5.7819999999999999E-6</v>
      </c>
      <c r="C150" s="28" t="s">
        <v>14</v>
      </c>
      <c r="D150" s="28"/>
      <c r="E150" s="28"/>
      <c r="F150" s="28"/>
    </row>
    <row r="151" spans="1:6">
      <c r="A151" s="28" t="s">
        <v>93</v>
      </c>
      <c r="B151" s="29">
        <v>4.8999999999999997E-7</v>
      </c>
      <c r="C151" s="28" t="s">
        <v>14</v>
      </c>
      <c r="D151" s="28"/>
      <c r="E151" s="28"/>
      <c r="F151" s="28"/>
    </row>
    <row r="152" spans="1:6">
      <c r="A152" s="28" t="s">
        <v>134</v>
      </c>
      <c r="B152" s="29">
        <v>2.9400000000000001E-17</v>
      </c>
      <c r="C152" s="28" t="s">
        <v>14</v>
      </c>
      <c r="D152" s="28"/>
      <c r="E152" s="28"/>
      <c r="F152" s="28"/>
    </row>
    <row r="153" spans="1:6">
      <c r="A153" s="28" t="s">
        <v>135</v>
      </c>
      <c r="B153" s="29">
        <v>9.8000000000000004E-8</v>
      </c>
      <c r="C153" s="28" t="s">
        <v>14</v>
      </c>
      <c r="D153" s="28"/>
      <c r="E153" s="28"/>
      <c r="F153" s="28"/>
    </row>
    <row r="154" spans="1:6">
      <c r="A154" s="28" t="s">
        <v>136</v>
      </c>
      <c r="B154" s="29">
        <v>2.9400000000000003E-11</v>
      </c>
      <c r="C154" s="28" t="s">
        <v>14</v>
      </c>
      <c r="D154" s="28"/>
      <c r="E154" s="28"/>
      <c r="F154" s="28"/>
    </row>
    <row r="155" spans="1:6">
      <c r="A155" s="28" t="s">
        <v>95</v>
      </c>
      <c r="B155" s="29">
        <v>1.9599999999999999E-6</v>
      </c>
      <c r="C155" s="28" t="s">
        <v>14</v>
      </c>
      <c r="D155" s="28"/>
      <c r="E155" s="28"/>
      <c r="F155" s="28"/>
    </row>
    <row r="156" spans="1:6">
      <c r="A156" s="28" t="s">
        <v>137</v>
      </c>
      <c r="B156" s="29">
        <v>1.2739999999999999E-7</v>
      </c>
      <c r="C156" s="28" t="s">
        <v>14</v>
      </c>
      <c r="D156" s="28"/>
      <c r="E156" s="28"/>
      <c r="F156" s="28"/>
    </row>
    <row r="157" spans="1:6">
      <c r="A157" s="28" t="s">
        <v>138</v>
      </c>
      <c r="B157" s="29">
        <v>2.9400000000000002E-9</v>
      </c>
      <c r="C157" s="28" t="s">
        <v>14</v>
      </c>
      <c r="D157" s="28"/>
      <c r="E157" s="28"/>
      <c r="F157" s="28"/>
    </row>
    <row r="158" spans="1:6">
      <c r="A158" s="28" t="s">
        <v>139</v>
      </c>
      <c r="B158" s="29">
        <v>9.7019999999999996E-6</v>
      </c>
      <c r="C158" s="28" t="s">
        <v>14</v>
      </c>
      <c r="D158" s="28"/>
      <c r="E158" s="28"/>
      <c r="F158" s="28"/>
    </row>
    <row r="159" spans="1:6">
      <c r="A159" s="28" t="s">
        <v>140</v>
      </c>
      <c r="B159" s="29">
        <v>9.8000000000000001E-9</v>
      </c>
      <c r="C159" s="28" t="s">
        <v>14</v>
      </c>
      <c r="D159" s="28"/>
      <c r="E159" s="28"/>
      <c r="F159" s="28"/>
    </row>
    <row r="160" spans="1:6">
      <c r="A160" s="28" t="s">
        <v>141</v>
      </c>
      <c r="B160" s="29">
        <v>9.8000000000000004E-8</v>
      </c>
      <c r="C160" s="28" t="s">
        <v>14</v>
      </c>
      <c r="D160" s="28"/>
      <c r="E160" s="28"/>
      <c r="F160" s="28"/>
    </row>
    <row r="161" spans="1:6">
      <c r="A161" s="28" t="s">
        <v>142</v>
      </c>
      <c r="B161" s="29">
        <v>1.176E-6</v>
      </c>
      <c r="C161" s="28" t="s">
        <v>14</v>
      </c>
      <c r="D161" s="28"/>
      <c r="E161" s="28"/>
      <c r="F161" s="28"/>
    </row>
    <row r="162" spans="1:6">
      <c r="A162" s="28" t="s">
        <v>143</v>
      </c>
      <c r="B162" s="29">
        <v>1.9600000000000001E-7</v>
      </c>
      <c r="C162" s="28" t="s">
        <v>14</v>
      </c>
      <c r="D162" s="28"/>
      <c r="E162" s="28"/>
      <c r="F162" s="28"/>
    </row>
    <row r="163" spans="1:6">
      <c r="A163" s="28" t="s">
        <v>144</v>
      </c>
      <c r="B163" s="29">
        <v>1.96E-8</v>
      </c>
      <c r="C163" s="28" t="s">
        <v>14</v>
      </c>
      <c r="D163" s="28"/>
      <c r="E163" s="28"/>
      <c r="F163" s="28"/>
    </row>
    <row r="164" spans="1:6">
      <c r="A164" s="28" t="s">
        <v>145</v>
      </c>
      <c r="B164" s="29">
        <v>4.9000000000000002E-8</v>
      </c>
      <c r="C164" s="28" t="s">
        <v>14</v>
      </c>
      <c r="D164" s="28"/>
      <c r="E164" s="28"/>
      <c r="F164" s="28"/>
    </row>
    <row r="165" spans="1:6">
      <c r="A165" s="28" t="s">
        <v>146</v>
      </c>
      <c r="B165" s="29">
        <v>4.9000000000000002E-8</v>
      </c>
      <c r="C165" s="28" t="s">
        <v>14</v>
      </c>
      <c r="D165" s="28"/>
      <c r="E165" s="28"/>
      <c r="F165" s="28"/>
    </row>
    <row r="166" spans="1:6">
      <c r="A166" s="28" t="s">
        <v>120</v>
      </c>
      <c r="B166" s="29">
        <v>4.8999999999999997E-7</v>
      </c>
      <c r="C166" s="28" t="s">
        <v>14</v>
      </c>
      <c r="D166" s="28"/>
      <c r="E166" s="28"/>
      <c r="F166" s="28"/>
    </row>
    <row r="167" spans="1:6">
      <c r="A167" s="28" t="s">
        <v>147</v>
      </c>
      <c r="B167" s="29">
        <v>1.9600000000000001E-7</v>
      </c>
      <c r="C167" s="28" t="s">
        <v>14</v>
      </c>
      <c r="D167" s="28"/>
      <c r="E167" s="28"/>
      <c r="F167" s="28"/>
    </row>
    <row r="169" spans="1:6" ht="15">
      <c r="A169" s="30" t="s">
        <v>304</v>
      </c>
      <c r="B169" s="16"/>
      <c r="C169" s="16"/>
      <c r="D169" s="16"/>
      <c r="E169" s="16"/>
      <c r="F169" s="16"/>
    </row>
    <row r="170" spans="1:6" ht="15">
      <c r="A170" s="15" t="s">
        <v>44</v>
      </c>
      <c r="B170" s="16"/>
      <c r="C170" s="16"/>
      <c r="D170" s="16"/>
      <c r="E170" s="16"/>
      <c r="F170" s="16"/>
    </row>
    <row r="171" spans="1:6">
      <c r="A171" s="16" t="s">
        <v>85</v>
      </c>
      <c r="B171" s="16">
        <v>4.6333333333333296E-3</v>
      </c>
      <c r="C171" s="16" t="s">
        <v>86</v>
      </c>
      <c r="D171" s="16"/>
      <c r="E171" s="16"/>
      <c r="F171" s="16" t="s">
        <v>68</v>
      </c>
    </row>
    <row r="172" spans="1:6">
      <c r="A172" s="16" t="s">
        <v>149</v>
      </c>
      <c r="B172" s="17">
        <v>3.1111111111111102E-9</v>
      </c>
      <c r="C172" s="16" t="s">
        <v>46</v>
      </c>
      <c r="D172" s="16"/>
      <c r="E172" s="16"/>
      <c r="F172" s="16" t="s">
        <v>150</v>
      </c>
    </row>
    <row r="173" spans="1:6">
      <c r="A173" s="16" t="s">
        <v>151</v>
      </c>
      <c r="B173" s="16">
        <v>3.0864197530864199E-2</v>
      </c>
      <c r="C173" s="16" t="s">
        <v>23</v>
      </c>
      <c r="D173" s="16"/>
      <c r="E173" s="16"/>
      <c r="F173" s="16" t="s">
        <v>152</v>
      </c>
    </row>
    <row r="174" spans="1:6">
      <c r="A174" s="16"/>
      <c r="B174" s="16"/>
      <c r="C174" s="16"/>
      <c r="D174" s="16"/>
      <c r="E174" s="16"/>
      <c r="F174" s="16"/>
    </row>
    <row r="175" spans="1:6" ht="15">
      <c r="A175" s="15" t="s">
        <v>76</v>
      </c>
      <c r="B175" s="16"/>
      <c r="C175" s="16"/>
      <c r="D175" s="16"/>
      <c r="E175" s="16"/>
      <c r="F175" s="16"/>
    </row>
    <row r="176" spans="1:6">
      <c r="A176" s="16" t="s">
        <v>87</v>
      </c>
      <c r="B176" s="16">
        <v>1</v>
      </c>
      <c r="C176" s="16" t="s">
        <v>50</v>
      </c>
      <c r="D176" s="16"/>
      <c r="E176" s="16"/>
      <c r="F176" s="16"/>
    </row>
    <row r="177" spans="1:6">
      <c r="A177" s="16" t="s">
        <v>128</v>
      </c>
      <c r="B177" s="17">
        <v>1.11111111111111E-9</v>
      </c>
      <c r="C177" s="16" t="s">
        <v>14</v>
      </c>
      <c r="D177" s="16"/>
      <c r="E177" s="16"/>
      <c r="F177" s="16"/>
    </row>
    <row r="178" spans="1:6">
      <c r="A178" s="16" t="s">
        <v>129</v>
      </c>
      <c r="B178" s="17">
        <v>1.6666666666666699E-7</v>
      </c>
      <c r="C178" s="16" t="s">
        <v>14</v>
      </c>
      <c r="D178" s="16"/>
      <c r="E178" s="16"/>
      <c r="F178" s="16"/>
    </row>
    <row r="179" spans="1:6">
      <c r="A179" s="16" t="s">
        <v>130</v>
      </c>
      <c r="B179" s="17">
        <v>4.4444444444444401E-7</v>
      </c>
      <c r="C179" s="16" t="s">
        <v>14</v>
      </c>
      <c r="D179" s="16"/>
      <c r="E179" s="16"/>
      <c r="F179" s="16"/>
    </row>
    <row r="180" spans="1:6">
      <c r="A180" s="17" t="s">
        <v>131</v>
      </c>
      <c r="B180" s="17">
        <v>1.11111111111111E-11</v>
      </c>
      <c r="C180" s="16" t="s">
        <v>14</v>
      </c>
      <c r="D180" s="16"/>
      <c r="E180" s="16"/>
      <c r="F180" s="16"/>
    </row>
    <row r="181" spans="1:6">
      <c r="A181" s="17" t="s">
        <v>132</v>
      </c>
      <c r="B181" s="17">
        <v>7.77777777777778E-7</v>
      </c>
      <c r="C181" s="16" t="s">
        <v>14</v>
      </c>
      <c r="D181" s="16"/>
      <c r="E181" s="16"/>
      <c r="F181" s="16"/>
    </row>
    <row r="182" spans="1:6">
      <c r="A182" s="17" t="s">
        <v>153</v>
      </c>
      <c r="B182" s="16">
        <v>6.22222222222222E-2</v>
      </c>
      <c r="C182" s="16" t="s">
        <v>14</v>
      </c>
      <c r="D182" s="16"/>
      <c r="E182" s="16"/>
      <c r="F182" s="16"/>
    </row>
    <row r="183" spans="1:6">
      <c r="A183" s="17" t="s">
        <v>154</v>
      </c>
      <c r="B183" s="17">
        <v>1.5555555555555599E-5</v>
      </c>
      <c r="C183" s="16" t="s">
        <v>14</v>
      </c>
      <c r="D183" s="16"/>
      <c r="E183" s="16"/>
      <c r="F183" s="16"/>
    </row>
    <row r="184" spans="1:6">
      <c r="A184" s="17" t="s">
        <v>93</v>
      </c>
      <c r="B184" s="17">
        <v>1.11111111111111E-7</v>
      </c>
      <c r="C184" s="16" t="s">
        <v>14</v>
      </c>
      <c r="D184" s="16"/>
      <c r="E184" s="16"/>
      <c r="F184" s="16"/>
    </row>
    <row r="185" spans="1:6">
      <c r="A185" s="16" t="s">
        <v>134</v>
      </c>
      <c r="B185" s="17">
        <v>3.3333333333333298E-17</v>
      </c>
      <c r="C185" s="16" t="s">
        <v>14</v>
      </c>
      <c r="D185" s="16"/>
      <c r="E185" s="16"/>
      <c r="F185" s="17"/>
    </row>
    <row r="186" spans="1:6">
      <c r="A186" s="16" t="s">
        <v>135</v>
      </c>
      <c r="B186" s="17">
        <v>1.11111111111111E-7</v>
      </c>
      <c r="C186" s="16" t="s">
        <v>14</v>
      </c>
      <c r="D186" s="16"/>
      <c r="E186" s="17"/>
      <c r="F186" s="16"/>
    </row>
    <row r="187" spans="1:6">
      <c r="A187" s="17" t="s">
        <v>136</v>
      </c>
      <c r="B187" s="17">
        <v>3.3333333333333302E-11</v>
      </c>
      <c r="C187" s="16" t="s">
        <v>14</v>
      </c>
      <c r="D187" s="16"/>
      <c r="E187" s="16"/>
      <c r="F187" s="16"/>
    </row>
    <row r="188" spans="1:6">
      <c r="A188" s="16" t="s">
        <v>155</v>
      </c>
      <c r="B188" s="17">
        <v>2.22222222222222E-6</v>
      </c>
      <c r="C188" s="16" t="s">
        <v>14</v>
      </c>
      <c r="D188" s="16"/>
      <c r="E188" s="16"/>
      <c r="F188" s="16"/>
    </row>
    <row r="189" spans="1:6">
      <c r="A189" s="16" t="s">
        <v>139</v>
      </c>
      <c r="B189" s="17">
        <v>2.5555555555555602E-5</v>
      </c>
      <c r="C189" s="16" t="s">
        <v>14</v>
      </c>
      <c r="D189" s="16"/>
      <c r="E189" s="16"/>
      <c r="F189" s="16"/>
    </row>
    <row r="190" spans="1:6">
      <c r="A190" s="16" t="s">
        <v>140</v>
      </c>
      <c r="B190" s="17">
        <v>1.11111111111111E-8</v>
      </c>
      <c r="C190" s="16" t="s">
        <v>14</v>
      </c>
      <c r="D190" s="16"/>
      <c r="E190" s="16"/>
      <c r="F190" s="16"/>
    </row>
    <row r="191" spans="1:6">
      <c r="A191" s="16" t="s">
        <v>141</v>
      </c>
      <c r="B191" s="17">
        <v>1.11111111111111E-7</v>
      </c>
      <c r="C191" s="16" t="s">
        <v>14</v>
      </c>
      <c r="D191" s="16"/>
      <c r="E191" s="16"/>
      <c r="F191" s="16"/>
    </row>
    <row r="192" spans="1:6">
      <c r="A192" s="17" t="s">
        <v>142</v>
      </c>
      <c r="B192" s="17">
        <v>1.33333333333333E-6</v>
      </c>
      <c r="C192" s="16" t="s">
        <v>14</v>
      </c>
      <c r="D192" s="16"/>
      <c r="E192" s="16"/>
      <c r="F192" s="16"/>
    </row>
    <row r="193" spans="1:6">
      <c r="A193" s="17" t="s">
        <v>143</v>
      </c>
      <c r="B193" s="17">
        <v>2.2222222222222201E-7</v>
      </c>
      <c r="C193" s="16" t="s">
        <v>14</v>
      </c>
      <c r="D193" s="16"/>
      <c r="E193" s="16"/>
      <c r="F193" s="16"/>
    </row>
    <row r="194" spans="1:6">
      <c r="A194" s="16" t="s">
        <v>144</v>
      </c>
      <c r="B194" s="17">
        <v>2.2222222222222201E-8</v>
      </c>
      <c r="C194" s="16" t="s">
        <v>14</v>
      </c>
      <c r="D194" s="16"/>
      <c r="E194" s="16"/>
      <c r="F194" s="16"/>
    </row>
    <row r="195" spans="1:6">
      <c r="A195" s="16" t="s">
        <v>120</v>
      </c>
      <c r="B195" s="17">
        <v>6.1111111111111095E-7</v>
      </c>
      <c r="C195" s="16" t="s">
        <v>14</v>
      </c>
      <c r="D195" s="16"/>
      <c r="E195" s="16"/>
      <c r="F195" s="16"/>
    </row>
    <row r="196" spans="1:6">
      <c r="A196" s="17" t="s">
        <v>147</v>
      </c>
      <c r="B196" s="17">
        <v>2.2222222222222201E-7</v>
      </c>
      <c r="C196" s="16" t="s">
        <v>14</v>
      </c>
      <c r="D196" s="16"/>
      <c r="E196" s="16"/>
      <c r="F196" s="16"/>
    </row>
    <row r="200" spans="1:6">
      <c r="B200" s="3"/>
    </row>
    <row r="201" spans="1:6">
      <c r="B201" s="3"/>
    </row>
    <row r="202" spans="1:6">
      <c r="B202" s="3"/>
    </row>
    <row r="209" spans="1:5">
      <c r="E209" s="3"/>
    </row>
    <row r="210" spans="1:5">
      <c r="B210" s="3"/>
      <c r="E210" s="3"/>
    </row>
    <row r="211" spans="1:5">
      <c r="B211" s="3"/>
      <c r="C211" s="3"/>
      <c r="E211" s="3"/>
    </row>
    <row r="212" spans="1:5">
      <c r="B212" s="3"/>
      <c r="C212" s="3"/>
      <c r="E212" s="3"/>
    </row>
    <row r="213" spans="1:5">
      <c r="B213" s="3"/>
      <c r="E213" s="3"/>
    </row>
    <row r="214" spans="1:5">
      <c r="B214" s="3"/>
    </row>
    <row r="215" spans="1:5">
      <c r="A215" s="3"/>
      <c r="B215" s="3"/>
    </row>
    <row r="351" spans="6:6">
      <c r="F351" s="3"/>
    </row>
    <row r="375" spans="6:6">
      <c r="F375" s="3"/>
    </row>
    <row r="376" spans="6:6">
      <c r="F376" s="3"/>
    </row>
    <row r="377" spans="6:6">
      <c r="F377" s="3"/>
    </row>
    <row r="378" spans="6:6">
      <c r="F378" s="3"/>
    </row>
    <row r="379" spans="6:6">
      <c r="F379" s="3"/>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F82F9-AF4D-4B3B-9B55-48E07990AD40}">
  <dimension ref="A1:F216"/>
  <sheetViews>
    <sheetView topLeftCell="B28" zoomScale="33" zoomScaleNormal="85" workbookViewId="0">
      <selection activeCell="F73" sqref="F73"/>
    </sheetView>
  </sheetViews>
  <sheetFormatPr baseColWidth="10" defaultColWidth="9" defaultRowHeight="14.25"/>
  <cols>
    <col min="1" max="1" width="78.125" customWidth="1"/>
    <col min="2" max="2" width="79" customWidth="1"/>
    <col min="3" max="3" width="21.75" customWidth="1"/>
    <col min="4" max="4" width="28" customWidth="1"/>
    <col min="5" max="5" width="99.75" bestFit="1" customWidth="1"/>
    <col min="6" max="6" width="45.375" customWidth="1"/>
  </cols>
  <sheetData>
    <row r="1" spans="1:6" ht="15">
      <c r="A1" s="6" t="s">
        <v>6</v>
      </c>
      <c r="B1" s="6" t="s">
        <v>7</v>
      </c>
      <c r="C1" s="6" t="s">
        <v>8</v>
      </c>
      <c r="D1" s="6" t="s">
        <v>9</v>
      </c>
      <c r="E1" s="6" t="s">
        <v>10</v>
      </c>
      <c r="F1" s="6" t="s">
        <v>11</v>
      </c>
    </row>
    <row r="3" spans="1:6" ht="15">
      <c r="A3" s="36" t="s">
        <v>159</v>
      </c>
      <c r="B3" s="35"/>
      <c r="C3" s="35"/>
      <c r="D3" s="35"/>
      <c r="E3" s="35"/>
      <c r="F3" s="35"/>
    </row>
    <row r="4" spans="1:6">
      <c r="A4" s="35" t="s">
        <v>338</v>
      </c>
      <c r="B4" s="35">
        <v>0.1</v>
      </c>
      <c r="C4" s="35" t="s">
        <v>14</v>
      </c>
      <c r="D4" s="35" t="s">
        <v>339</v>
      </c>
      <c r="E4" s="35"/>
      <c r="F4" s="35"/>
    </row>
    <row r="5" spans="1:6">
      <c r="A5" s="35" t="s">
        <v>340</v>
      </c>
      <c r="B5" s="35">
        <v>0.76400000000000001</v>
      </c>
      <c r="C5" s="35"/>
      <c r="D5" s="35"/>
      <c r="E5" s="35"/>
      <c r="F5" s="35"/>
    </row>
    <row r="6" spans="1:6">
      <c r="A6" s="35" t="s">
        <v>160</v>
      </c>
      <c r="B6" s="35">
        <v>1.2210000000000001</v>
      </c>
      <c r="C6" s="35" t="s">
        <v>17</v>
      </c>
      <c r="D6" s="35"/>
      <c r="E6" s="35"/>
      <c r="F6" s="35"/>
    </row>
    <row r="7" spans="1:6">
      <c r="A7" s="42" t="s">
        <v>341</v>
      </c>
      <c r="B7" s="35">
        <v>0.56200000000000006</v>
      </c>
      <c r="C7" s="35"/>
      <c r="D7" s="35" t="s">
        <v>162</v>
      </c>
      <c r="E7" s="35"/>
      <c r="F7" s="35"/>
    </row>
    <row r="8" spans="1:6">
      <c r="A8" s="42" t="s">
        <v>342</v>
      </c>
      <c r="B8" s="35">
        <v>0.42299999999999999</v>
      </c>
      <c r="C8" s="35"/>
      <c r="D8" s="35" t="s">
        <v>162</v>
      </c>
      <c r="E8" s="35"/>
      <c r="F8" s="35"/>
    </row>
    <row r="9" spans="1:6">
      <c r="A9" s="42" t="s">
        <v>343</v>
      </c>
      <c r="B9" s="35">
        <v>1.4999999999999999E-2</v>
      </c>
      <c r="C9" s="35"/>
      <c r="D9" s="35" t="s">
        <v>162</v>
      </c>
      <c r="E9" s="35"/>
      <c r="F9" s="35"/>
    </row>
    <row r="10" spans="1:6">
      <c r="A10" s="42" t="s">
        <v>344</v>
      </c>
      <c r="B10" s="35">
        <v>0.76200000000000001</v>
      </c>
      <c r="C10" s="35"/>
      <c r="D10" s="35" t="s">
        <v>162</v>
      </c>
      <c r="E10" s="35"/>
      <c r="F10" s="35"/>
    </row>
    <row r="11" spans="1:6">
      <c r="A11" s="35" t="s">
        <v>166</v>
      </c>
      <c r="B11" s="35">
        <v>4.3249999999999997E-2</v>
      </c>
      <c r="C11" s="35" t="s">
        <v>14</v>
      </c>
      <c r="D11" s="35" t="s">
        <v>167</v>
      </c>
      <c r="E11" s="35"/>
      <c r="F11" s="35"/>
    </row>
    <row r="12" spans="1:6">
      <c r="A12" s="42" t="s">
        <v>345</v>
      </c>
      <c r="B12" s="35">
        <f>13.1*4</f>
        <v>52.4</v>
      </c>
      <c r="C12" s="35" t="s">
        <v>171</v>
      </c>
      <c r="D12" s="35" t="s">
        <v>172</v>
      </c>
      <c r="E12" s="35"/>
      <c r="F12" s="35"/>
    </row>
    <row r="13" spans="1:6">
      <c r="A13" s="42" t="s">
        <v>346</v>
      </c>
      <c r="B13" s="35">
        <v>0.23580000000000001</v>
      </c>
      <c r="C13" s="35" t="s">
        <v>174</v>
      </c>
      <c r="D13" s="35" t="s">
        <v>172</v>
      </c>
      <c r="E13" s="35"/>
      <c r="F13" s="35"/>
    </row>
    <row r="14" spans="1:6">
      <c r="A14" s="35" t="s">
        <v>22</v>
      </c>
      <c r="B14" s="35">
        <v>1.53579</v>
      </c>
      <c r="C14" s="35" t="s">
        <v>23</v>
      </c>
      <c r="D14" s="35"/>
      <c r="E14" s="35"/>
      <c r="F14" s="35"/>
    </row>
    <row r="15" spans="1:6">
      <c r="A15" s="35" t="s">
        <v>24</v>
      </c>
      <c r="B15" s="35">
        <v>2.513E-2</v>
      </c>
      <c r="C15" s="35" t="s">
        <v>23</v>
      </c>
      <c r="D15" s="35"/>
      <c r="E15" s="35"/>
      <c r="F15" s="35"/>
    </row>
    <row r="16" spans="1:6">
      <c r="A16" s="35" t="s">
        <v>373</v>
      </c>
      <c r="B16" s="35">
        <f>26.4</f>
        <v>26.4</v>
      </c>
      <c r="C16" s="35" t="s">
        <v>177</v>
      </c>
      <c r="D16" s="35"/>
      <c r="E16" s="35"/>
      <c r="F16" s="35"/>
    </row>
    <row r="17" spans="1:6">
      <c r="A17" s="35" t="s">
        <v>362</v>
      </c>
      <c r="B17" s="35">
        <f>1.1/100</f>
        <v>1.1000000000000001E-2</v>
      </c>
      <c r="C17" s="35"/>
      <c r="D17" s="35" t="s">
        <v>172</v>
      </c>
      <c r="E17" s="35"/>
      <c r="F17" s="35"/>
    </row>
    <row r="18" spans="1:6">
      <c r="A18" s="35" t="s">
        <v>363</v>
      </c>
      <c r="B18" s="35">
        <f>5.2/100</f>
        <v>5.2000000000000005E-2</v>
      </c>
      <c r="C18" s="35"/>
      <c r="D18" s="35" t="s">
        <v>172</v>
      </c>
      <c r="E18" s="35"/>
      <c r="F18" s="35"/>
    </row>
    <row r="19" spans="1:6">
      <c r="A19" s="35" t="s">
        <v>364</v>
      </c>
      <c r="B19" s="35">
        <f>3/100</f>
        <v>0.03</v>
      </c>
      <c r="C19" s="35"/>
      <c r="D19" s="35" t="s">
        <v>172</v>
      </c>
      <c r="E19" s="35"/>
      <c r="F19" s="35"/>
    </row>
    <row r="20" spans="1:6">
      <c r="A20" s="35" t="s">
        <v>365</v>
      </c>
      <c r="B20" s="35">
        <f>1.2/100</f>
        <v>1.2E-2</v>
      </c>
      <c r="C20" s="35"/>
      <c r="D20" s="35"/>
      <c r="E20" s="35"/>
      <c r="F20" s="35"/>
    </row>
    <row r="21" spans="1:6">
      <c r="A21" s="35" t="s">
        <v>39</v>
      </c>
      <c r="B21" s="35">
        <v>142</v>
      </c>
      <c r="C21" s="35" t="s">
        <v>40</v>
      </c>
      <c r="D21" s="35"/>
      <c r="E21" s="35"/>
      <c r="F21" s="35"/>
    </row>
    <row r="22" spans="1:6">
      <c r="A22" s="35" t="s">
        <v>41</v>
      </c>
      <c r="B22" s="35">
        <f>39*2+16</f>
        <v>94</v>
      </c>
      <c r="C22" s="35" t="s">
        <v>40</v>
      </c>
      <c r="D22" s="35"/>
      <c r="E22" s="35"/>
      <c r="F22" s="35"/>
    </row>
    <row r="24" spans="1:6" ht="15">
      <c r="A24" s="34" t="s">
        <v>178</v>
      </c>
      <c r="B24" s="28"/>
      <c r="C24" s="28"/>
      <c r="D24" s="28"/>
      <c r="E24" s="28"/>
      <c r="F24" s="28"/>
    </row>
    <row r="25" spans="1:6" ht="15">
      <c r="A25" s="27" t="s">
        <v>44</v>
      </c>
      <c r="B25" s="28"/>
      <c r="C25" s="28"/>
      <c r="D25" s="28"/>
      <c r="E25" s="28"/>
      <c r="F25" s="28"/>
    </row>
    <row r="26" spans="1:6">
      <c r="A26" s="28" t="s">
        <v>45</v>
      </c>
      <c r="B26" s="28">
        <v>1</v>
      </c>
      <c r="C26" s="28" t="s">
        <v>46</v>
      </c>
      <c r="D26" s="28"/>
      <c r="E26" s="28"/>
      <c r="F26" s="28"/>
    </row>
    <row r="27" spans="1:6">
      <c r="A27" s="28" t="s">
        <v>47</v>
      </c>
      <c r="B27" s="28">
        <v>0.15650723831737146</v>
      </c>
      <c r="C27" s="28" t="s">
        <v>46</v>
      </c>
      <c r="D27" s="28"/>
      <c r="E27" s="28"/>
      <c r="F27" s="28"/>
    </row>
    <row r="28" spans="1:6">
      <c r="A28" s="28" t="s">
        <v>48</v>
      </c>
      <c r="B28" s="28">
        <v>1</v>
      </c>
      <c r="C28" s="28" t="s">
        <v>46</v>
      </c>
      <c r="D28" s="28"/>
      <c r="E28" s="28"/>
      <c r="F28" s="28"/>
    </row>
    <row r="29" spans="1:6">
      <c r="A29" s="28" t="s">
        <v>49</v>
      </c>
      <c r="B29" s="28">
        <v>6.2279044296606232</v>
      </c>
      <c r="C29" s="28" t="s">
        <v>46</v>
      </c>
      <c r="D29" s="28"/>
      <c r="E29" s="28"/>
      <c r="F29" s="28"/>
    </row>
    <row r="30" spans="1:6">
      <c r="A30" s="28" t="s">
        <v>51</v>
      </c>
      <c r="B30" s="28">
        <v>-6.2279044296606232</v>
      </c>
      <c r="C30" s="28" t="s">
        <v>50</v>
      </c>
      <c r="D30" s="28"/>
      <c r="E30" s="28"/>
      <c r="F30" s="28" t="s">
        <v>52</v>
      </c>
    </row>
    <row r="31" spans="1:6">
      <c r="A31" s="28" t="s">
        <v>53</v>
      </c>
      <c r="B31" s="28">
        <v>1</v>
      </c>
      <c r="C31" s="28" t="s">
        <v>46</v>
      </c>
      <c r="D31" s="28"/>
      <c r="E31" s="28"/>
      <c r="F31" s="28"/>
    </row>
    <row r="32" spans="1:6">
      <c r="A32" s="28" t="s">
        <v>54</v>
      </c>
      <c r="B32" s="29">
        <v>1</v>
      </c>
      <c r="C32" s="28" t="s">
        <v>46</v>
      </c>
      <c r="D32" s="28"/>
      <c r="E32" s="28"/>
      <c r="F32" s="28"/>
    </row>
    <row r="33" spans="1:6">
      <c r="A33" s="28" t="s">
        <v>179</v>
      </c>
      <c r="B33" s="28">
        <v>1</v>
      </c>
      <c r="C33" s="28" t="s">
        <v>46</v>
      </c>
      <c r="D33" s="28"/>
      <c r="E33" s="28"/>
      <c r="F33" s="28"/>
    </row>
    <row r="34" spans="1:6">
      <c r="A34" s="28" t="s">
        <v>180</v>
      </c>
      <c r="B34" s="28">
        <v>1</v>
      </c>
      <c r="C34" s="28" t="s">
        <v>46</v>
      </c>
      <c r="D34" s="28"/>
      <c r="E34" s="28"/>
      <c r="F34" s="28"/>
    </row>
    <row r="35" spans="1:6">
      <c r="A35" s="28" t="s">
        <v>184</v>
      </c>
      <c r="B35" s="28">
        <v>1</v>
      </c>
      <c r="C35" s="28" t="s">
        <v>46</v>
      </c>
      <c r="D35" s="28"/>
      <c r="E35" s="28"/>
      <c r="F35" s="28"/>
    </row>
    <row r="36" spans="1:6">
      <c r="A36" s="28" t="s">
        <v>185</v>
      </c>
      <c r="B36" s="29">
        <f>(B101/1000)/B14</f>
        <v>8.302536774345622E-4</v>
      </c>
      <c r="C36" s="28" t="s">
        <v>46</v>
      </c>
      <c r="D36" s="28"/>
      <c r="E36" s="28"/>
      <c r="F36" s="28"/>
    </row>
    <row r="37" spans="1:6">
      <c r="A37" s="28" t="s">
        <v>186</v>
      </c>
      <c r="B37" s="29">
        <f>B36/B15</f>
        <v>3.3038347689397618E-2</v>
      </c>
      <c r="C37" s="28" t="s">
        <v>46</v>
      </c>
      <c r="D37" s="28"/>
      <c r="E37" s="28"/>
      <c r="F37" s="28"/>
    </row>
    <row r="38" spans="1:6">
      <c r="A38" s="28" t="s">
        <v>187</v>
      </c>
      <c r="B38" s="29">
        <f>-B37</f>
        <v>-3.3038347689397618E-2</v>
      </c>
      <c r="C38" s="28" t="s">
        <v>50</v>
      </c>
      <c r="D38" s="28"/>
      <c r="E38" s="28"/>
      <c r="F38" s="28" t="s">
        <v>52</v>
      </c>
    </row>
    <row r="39" spans="1:6">
      <c r="A39" s="28" t="s">
        <v>55</v>
      </c>
      <c r="B39" s="54">
        <v>-2.2793296089385481E-3</v>
      </c>
      <c r="C39" s="28" t="s">
        <v>14</v>
      </c>
      <c r="D39" s="28"/>
      <c r="E39" s="28"/>
      <c r="F39" s="28" t="s">
        <v>56</v>
      </c>
    </row>
    <row r="40" spans="1:6">
      <c r="A40" s="28" t="s">
        <v>57</v>
      </c>
      <c r="B40" s="54">
        <v>-2.4883907010272131E-4</v>
      </c>
      <c r="C40" s="28" t="s">
        <v>14</v>
      </c>
      <c r="D40" s="28"/>
      <c r="E40" s="28"/>
      <c r="F40" s="28" t="s">
        <v>58</v>
      </c>
    </row>
    <row r="41" spans="1:6">
      <c r="A41" s="28" t="s">
        <v>59</v>
      </c>
      <c r="B41" s="54">
        <v>-9.5225325884543794E-5</v>
      </c>
      <c r="C41" s="28" t="s">
        <v>14</v>
      </c>
      <c r="D41" s="28"/>
      <c r="E41" s="28"/>
      <c r="F41" s="28" t="s">
        <v>60</v>
      </c>
    </row>
    <row r="42" spans="1:6">
      <c r="A42" s="28" t="s">
        <v>370</v>
      </c>
      <c r="B42" s="29">
        <f>-B89*0.9*B17</f>
        <v>-1.4589520000000004E-4</v>
      </c>
      <c r="C42" s="28" t="s">
        <v>14</v>
      </c>
      <c r="D42" s="28"/>
      <c r="E42" s="28"/>
      <c r="F42" s="28" t="s">
        <v>56</v>
      </c>
    </row>
    <row r="43" spans="1:6">
      <c r="A43" s="28" t="s">
        <v>371</v>
      </c>
      <c r="B43" s="29">
        <f>-B89*0.9*B20*B18*(B21/62)</f>
        <v>-1.8955252025806458E-5</v>
      </c>
      <c r="C43" s="28" t="s">
        <v>14</v>
      </c>
      <c r="D43" s="28"/>
      <c r="E43" s="28"/>
      <c r="F43" s="28" t="s">
        <v>58</v>
      </c>
    </row>
    <row r="44" spans="1:6">
      <c r="A44" s="28" t="s">
        <v>372</v>
      </c>
      <c r="B44" s="29">
        <f>-B89*0.9*B20*B19*(B22/78)</f>
        <v>-5.7541883076923071E-6</v>
      </c>
      <c r="C44" s="28" t="s">
        <v>14</v>
      </c>
      <c r="D44" s="28"/>
      <c r="E44" s="28"/>
      <c r="F44" s="28" t="s">
        <v>60</v>
      </c>
    </row>
    <row r="45" spans="1:6">
      <c r="A45" s="28"/>
      <c r="B45" s="28"/>
      <c r="C45" s="28"/>
      <c r="D45" s="28"/>
      <c r="E45" s="28"/>
      <c r="F45" s="28"/>
    </row>
    <row r="46" spans="1:6" ht="15">
      <c r="A46" s="27" t="s">
        <v>61</v>
      </c>
      <c r="B46" s="28"/>
      <c r="C46" s="28"/>
      <c r="D46" s="28"/>
      <c r="E46" s="28"/>
      <c r="F46" s="28"/>
    </row>
    <row r="47" spans="1:6">
      <c r="A47" s="28" t="s">
        <v>62</v>
      </c>
      <c r="B47" s="28">
        <v>1</v>
      </c>
      <c r="C47" s="28" t="s">
        <v>14</v>
      </c>
      <c r="D47" s="28"/>
      <c r="E47" s="28"/>
      <c r="F47" s="28"/>
    </row>
    <row r="49" spans="1:6" ht="15">
      <c r="A49" s="1" t="s">
        <v>317</v>
      </c>
    </row>
    <row r="50" spans="1:6" ht="15">
      <c r="A50" s="31" t="s">
        <v>333</v>
      </c>
      <c r="B50" s="19"/>
      <c r="C50" s="19"/>
      <c r="D50" s="19"/>
      <c r="E50" s="19"/>
      <c r="F50" s="19"/>
    </row>
    <row r="51" spans="1:6" ht="15">
      <c r="A51" s="18" t="s">
        <v>44</v>
      </c>
      <c r="B51" s="19"/>
      <c r="C51" s="19"/>
      <c r="D51" s="19"/>
      <c r="E51" s="19"/>
      <c r="F51" s="19"/>
    </row>
    <row r="52" spans="1:6">
      <c r="A52" s="19" t="s">
        <v>64</v>
      </c>
      <c r="B52" s="19">
        <f>20/1500</f>
        <v>1.3333333333333334E-2</v>
      </c>
      <c r="C52" s="19" t="s">
        <v>65</v>
      </c>
      <c r="D52" s="19"/>
      <c r="E52" s="19" t="s">
        <v>75</v>
      </c>
      <c r="F52" s="19" t="s">
        <v>68</v>
      </c>
    </row>
    <row r="53" spans="1:6">
      <c r="A53" s="19" t="s">
        <v>69</v>
      </c>
      <c r="B53" s="19">
        <f>2000/(20*3000*1500)</f>
        <v>2.2222222222222223E-5</v>
      </c>
      <c r="C53" s="19" t="s">
        <v>70</v>
      </c>
      <c r="D53" s="19"/>
      <c r="E53" s="19"/>
      <c r="F53" s="19" t="s">
        <v>72</v>
      </c>
    </row>
    <row r="54" spans="1:6">
      <c r="A54" s="19"/>
      <c r="B54" s="19"/>
      <c r="C54" s="19"/>
      <c r="D54" s="19"/>
      <c r="E54" s="19"/>
      <c r="F54" s="19"/>
    </row>
    <row r="55" spans="1:6" ht="15">
      <c r="A55" s="18" t="s">
        <v>76</v>
      </c>
      <c r="B55" s="19"/>
      <c r="C55" s="19"/>
      <c r="D55" s="19"/>
      <c r="E55" s="19"/>
      <c r="F55" s="19"/>
    </row>
    <row r="56" spans="1:6">
      <c r="A56" s="19" t="s">
        <v>53</v>
      </c>
      <c r="B56" s="19">
        <v>1</v>
      </c>
      <c r="C56" s="19" t="s">
        <v>73</v>
      </c>
      <c r="D56" s="19"/>
      <c r="E56" s="19"/>
      <c r="F56" s="19"/>
    </row>
    <row r="57" spans="1:6">
      <c r="A57" s="43" t="s">
        <v>334</v>
      </c>
      <c r="B57" s="43">
        <v>0.1</v>
      </c>
      <c r="C57" s="43" t="s">
        <v>14</v>
      </c>
      <c r="D57" s="19"/>
      <c r="E57" s="19"/>
      <c r="F57" s="19" t="s">
        <v>78</v>
      </c>
    </row>
    <row r="59" spans="1:6" ht="15">
      <c r="A59" s="18" t="s">
        <v>189</v>
      </c>
      <c r="B59" s="19"/>
      <c r="C59" s="19"/>
      <c r="D59" s="19"/>
      <c r="E59" s="19"/>
      <c r="F59" s="19"/>
    </row>
    <row r="60" spans="1:6" ht="15">
      <c r="A60" s="18" t="s">
        <v>44</v>
      </c>
      <c r="B60" s="19"/>
      <c r="C60" s="19"/>
      <c r="D60" s="19"/>
      <c r="E60" s="19"/>
      <c r="F60" s="19"/>
    </row>
    <row r="61" spans="1:6">
      <c r="A61" s="19" t="s">
        <v>85</v>
      </c>
      <c r="B61" s="19">
        <v>4.8703624122618545E-3</v>
      </c>
      <c r="C61" s="19" t="s">
        <v>65</v>
      </c>
      <c r="D61" s="19" t="s">
        <v>97</v>
      </c>
      <c r="E61" s="19" t="s">
        <v>98</v>
      </c>
      <c r="F61" s="19" t="s">
        <v>68</v>
      </c>
    </row>
    <row r="62" spans="1:6">
      <c r="A62" s="19" t="s">
        <v>99</v>
      </c>
      <c r="B62" s="20">
        <v>6.4102564102564103E-5</v>
      </c>
      <c r="C62" s="19" t="s">
        <v>14</v>
      </c>
      <c r="D62" s="19" t="s">
        <v>100</v>
      </c>
      <c r="E62" s="19" t="s">
        <v>101</v>
      </c>
      <c r="F62" s="19" t="s">
        <v>72</v>
      </c>
    </row>
    <row r="63" spans="1:6">
      <c r="A63" s="19"/>
      <c r="B63" s="19"/>
      <c r="C63" s="19"/>
      <c r="D63" s="19"/>
      <c r="E63" s="19"/>
      <c r="F63" s="19"/>
    </row>
    <row r="64" spans="1:6" ht="15">
      <c r="A64" s="18" t="s">
        <v>76</v>
      </c>
      <c r="B64" s="19"/>
      <c r="C64" s="19"/>
      <c r="D64" s="19"/>
      <c r="E64" s="19"/>
      <c r="F64" s="19"/>
    </row>
    <row r="65" spans="1:6">
      <c r="A65" s="19" t="s">
        <v>189</v>
      </c>
      <c r="B65" s="19">
        <v>1</v>
      </c>
      <c r="C65" s="19" t="s">
        <v>46</v>
      </c>
      <c r="D65" s="19"/>
      <c r="E65" s="19"/>
      <c r="F65" s="19"/>
    </row>
    <row r="66" spans="1:6">
      <c r="A66" s="19" t="s">
        <v>190</v>
      </c>
      <c r="B66" s="20">
        <f>0.253258845437616/1000</f>
        <v>2.5325884543761599E-4</v>
      </c>
      <c r="C66" s="19" t="s">
        <v>23</v>
      </c>
      <c r="D66" s="19"/>
      <c r="E66" s="19"/>
      <c r="F66" s="19" t="s">
        <v>104</v>
      </c>
    </row>
    <row r="67" spans="1:6">
      <c r="A67" s="19" t="s">
        <v>105</v>
      </c>
      <c r="B67" s="20">
        <v>0.2532588454376164</v>
      </c>
      <c r="C67" s="19" t="s">
        <v>14</v>
      </c>
      <c r="D67" s="19"/>
      <c r="E67" s="19"/>
      <c r="F67" s="19" t="s">
        <v>348</v>
      </c>
    </row>
    <row r="69" spans="1:6" ht="15">
      <c r="A69" s="15" t="s">
        <v>335</v>
      </c>
      <c r="B69" s="16"/>
      <c r="C69" s="16"/>
      <c r="D69" s="16"/>
      <c r="E69" s="16"/>
      <c r="F69" s="16"/>
    </row>
    <row r="70" spans="1:6" ht="15">
      <c r="A70" s="15" t="s">
        <v>44</v>
      </c>
      <c r="B70" s="16"/>
      <c r="C70" s="16"/>
      <c r="D70" s="16"/>
      <c r="E70" s="16"/>
      <c r="F70" s="16"/>
    </row>
    <row r="71" spans="1:6">
      <c r="A71" s="16" t="s">
        <v>64</v>
      </c>
      <c r="B71" s="17">
        <f>0.3*(B4+B73)</f>
        <v>3.5399999999999994E-2</v>
      </c>
      <c r="C71" s="16" t="s">
        <v>65</v>
      </c>
      <c r="D71" s="16"/>
      <c r="E71" s="16" t="s">
        <v>321</v>
      </c>
      <c r="F71" s="16" t="s">
        <v>68</v>
      </c>
    </row>
    <row r="72" spans="1:6">
      <c r="A72" s="16" t="s">
        <v>99</v>
      </c>
      <c r="B72" s="17">
        <v>2.2222222222222223E-5</v>
      </c>
      <c r="C72" s="16" t="s">
        <v>70</v>
      </c>
      <c r="D72" s="16"/>
      <c r="E72" s="16" t="s">
        <v>198</v>
      </c>
      <c r="F72" s="16" t="s">
        <v>72</v>
      </c>
    </row>
    <row r="73" spans="1:6">
      <c r="A73" s="16" t="s">
        <v>349</v>
      </c>
      <c r="B73" s="17">
        <f>(B4*(1-B5)-B4*0.2)/0.2</f>
        <v>1.7999999999999978E-2</v>
      </c>
      <c r="C73" s="16" t="s">
        <v>14</v>
      </c>
      <c r="D73" s="16" t="s">
        <v>200</v>
      </c>
      <c r="E73" s="16"/>
      <c r="F73" s="16" t="s">
        <v>201</v>
      </c>
    </row>
    <row r="74" spans="1:6">
      <c r="A74" s="16"/>
      <c r="B74" s="16"/>
      <c r="C74" s="16"/>
      <c r="D74" s="16"/>
      <c r="E74" s="16"/>
      <c r="F74" s="16"/>
    </row>
    <row r="75" spans="1:6" ht="15">
      <c r="A75" s="15" t="s">
        <v>61</v>
      </c>
      <c r="B75" s="16"/>
      <c r="C75" s="16"/>
      <c r="D75" s="16"/>
      <c r="E75" s="16"/>
      <c r="F75" s="16"/>
    </row>
    <row r="76" spans="1:6">
      <c r="A76" s="16" t="s">
        <v>350</v>
      </c>
      <c r="B76" s="16">
        <v>1</v>
      </c>
      <c r="C76" s="16" t="s">
        <v>46</v>
      </c>
      <c r="D76" s="16"/>
      <c r="E76" s="16"/>
      <c r="F76" s="16"/>
    </row>
    <row r="77" spans="1:6">
      <c r="A77" s="16" t="s">
        <v>203</v>
      </c>
      <c r="B77" s="17">
        <f>B4*(1-B5)*B7/(1-B10)</f>
        <v>5.5727731092436984E-2</v>
      </c>
      <c r="C77" s="16" t="s">
        <v>14</v>
      </c>
      <c r="D77" s="16"/>
      <c r="E77" s="16"/>
      <c r="F77" s="16"/>
    </row>
    <row r="78" spans="1:6">
      <c r="A78" s="16" t="s">
        <v>204</v>
      </c>
      <c r="B78" s="17">
        <f>(B4+B73)-(B77+B79+B80)</f>
        <v>6.1918268907562996E-2</v>
      </c>
      <c r="C78" s="16" t="s">
        <v>14</v>
      </c>
      <c r="D78" s="16"/>
      <c r="E78" s="16"/>
      <c r="F78" s="16"/>
    </row>
    <row r="79" spans="1:6">
      <c r="A79" s="16" t="s">
        <v>92</v>
      </c>
      <c r="B79" s="17">
        <f>B4*B9*(1-B5)*0.95</f>
        <v>3.3629999999999999E-4</v>
      </c>
      <c r="C79" s="16" t="s">
        <v>14</v>
      </c>
      <c r="D79" s="16"/>
      <c r="E79" s="16" t="s">
        <v>205</v>
      </c>
      <c r="F79" s="16"/>
    </row>
    <row r="80" spans="1:6">
      <c r="A80" s="16" t="s">
        <v>133</v>
      </c>
      <c r="B80" s="17">
        <f>B4*B9*(1-B5)*0.05</f>
        <v>1.77E-5</v>
      </c>
      <c r="C80" s="16" t="s">
        <v>14</v>
      </c>
      <c r="D80" s="16"/>
      <c r="E80" s="16"/>
      <c r="F80" s="16"/>
    </row>
    <row r="82" spans="1:6" ht="15">
      <c r="A82" s="12" t="s">
        <v>206</v>
      </c>
      <c r="B82" s="11"/>
      <c r="C82" s="11"/>
      <c r="D82" s="11"/>
      <c r="E82" s="11"/>
      <c r="F82" s="11"/>
    </row>
    <row r="83" spans="1:6" ht="15">
      <c r="A83" s="12" t="s">
        <v>44</v>
      </c>
      <c r="B83" s="11"/>
      <c r="C83" s="11"/>
      <c r="D83" s="11"/>
      <c r="E83" s="11"/>
      <c r="F83" s="11"/>
    </row>
    <row r="84" spans="1:6">
      <c r="A84" s="11" t="s">
        <v>64</v>
      </c>
      <c r="B84" s="14">
        <f>(B77 - (B77 * (1 - B10) / (1 - 0.1))) * (2260 / (0.7 * 3600))</f>
        <v>3.6761628325404243E-2</v>
      </c>
      <c r="C84" s="11" t="s">
        <v>65</v>
      </c>
      <c r="D84" s="11"/>
      <c r="E84" s="11" t="s">
        <v>207</v>
      </c>
      <c r="F84" s="11" t="s">
        <v>68</v>
      </c>
    </row>
    <row r="85" spans="1:6">
      <c r="A85" s="11" t="s">
        <v>208</v>
      </c>
      <c r="B85" s="14">
        <v>2.1367521367521368E-5</v>
      </c>
      <c r="C85" s="11" t="s">
        <v>14</v>
      </c>
      <c r="D85" s="11"/>
      <c r="E85" s="11" t="s">
        <v>209</v>
      </c>
      <c r="F85" s="11" t="s">
        <v>72</v>
      </c>
    </row>
    <row r="86" spans="1:6">
      <c r="A86" s="11"/>
      <c r="B86" s="11"/>
      <c r="C86" s="11"/>
      <c r="D86" s="11"/>
      <c r="E86" s="11"/>
      <c r="F86" s="11"/>
    </row>
    <row r="87" spans="1:6" ht="15">
      <c r="A87" s="12" t="s">
        <v>61</v>
      </c>
      <c r="B87" s="11"/>
      <c r="C87" s="11"/>
      <c r="D87" s="11"/>
      <c r="E87" s="11"/>
      <c r="F87" s="11"/>
    </row>
    <row r="88" spans="1:6">
      <c r="A88" s="11" t="s">
        <v>180</v>
      </c>
      <c r="B88" s="11">
        <v>1</v>
      </c>
      <c r="C88" s="11" t="s">
        <v>46</v>
      </c>
      <c r="D88" s="11"/>
      <c r="E88" s="11"/>
      <c r="F88" s="11"/>
    </row>
    <row r="89" spans="1:6">
      <c r="A89" s="11" t="s">
        <v>210</v>
      </c>
      <c r="B89" s="14">
        <f>(B77*(1-B10))/0.9</f>
        <v>1.473688888888889E-2</v>
      </c>
      <c r="C89" s="11" t="s">
        <v>14</v>
      </c>
      <c r="D89" s="11"/>
      <c r="E89" s="11"/>
      <c r="F89" s="11"/>
    </row>
    <row r="90" spans="1:6">
      <c r="A90" s="11" t="s">
        <v>212</v>
      </c>
      <c r="B90" s="14">
        <f>(B77-B89)/1000</f>
        <v>4.0990842203548098E-5</v>
      </c>
      <c r="C90" s="11" t="s">
        <v>23</v>
      </c>
      <c r="D90" s="11"/>
      <c r="E90" s="11" t="s">
        <v>322</v>
      </c>
      <c r="F90" s="11" t="s">
        <v>104</v>
      </c>
    </row>
    <row r="93" spans="1:6" ht="15">
      <c r="A93" s="27" t="s">
        <v>184</v>
      </c>
      <c r="B93" s="39" t="s">
        <v>80</v>
      </c>
      <c r="C93" s="29">
        <v>1</v>
      </c>
      <c r="D93" s="28"/>
      <c r="E93" s="28" t="s">
        <v>286</v>
      </c>
      <c r="F93" s="28"/>
    </row>
    <row r="94" spans="1:6" ht="15">
      <c r="A94" s="27" t="s">
        <v>44</v>
      </c>
      <c r="B94" s="28"/>
      <c r="C94" s="28"/>
      <c r="D94" s="28"/>
      <c r="E94" s="28"/>
      <c r="F94" s="28"/>
    </row>
    <row r="95" spans="1:6">
      <c r="A95" s="28" t="s">
        <v>287</v>
      </c>
      <c r="B95" s="28">
        <v>0</v>
      </c>
      <c r="C95" s="28" t="s">
        <v>73</v>
      </c>
      <c r="D95" s="28"/>
      <c r="E95" s="28"/>
      <c r="F95" s="28" t="s">
        <v>84</v>
      </c>
    </row>
    <row r="96" spans="1:6">
      <c r="A96" s="28" t="s">
        <v>85</v>
      </c>
      <c r="B96" s="28">
        <v>0</v>
      </c>
      <c r="C96" s="28" t="s">
        <v>65</v>
      </c>
      <c r="D96" s="28"/>
      <c r="E96" s="28"/>
      <c r="F96" s="28" t="s">
        <v>68</v>
      </c>
    </row>
    <row r="97" spans="1:6">
      <c r="A97" s="28" t="s">
        <v>288</v>
      </c>
      <c r="B97" s="28">
        <v>0</v>
      </c>
      <c r="C97" s="28" t="s">
        <v>50</v>
      </c>
      <c r="D97" s="28"/>
      <c r="E97" s="28"/>
      <c r="F97" s="28" t="s">
        <v>88</v>
      </c>
    </row>
    <row r="98" spans="1:6">
      <c r="A98" s="28"/>
      <c r="B98" s="28"/>
      <c r="C98" s="28"/>
      <c r="D98" s="28"/>
      <c r="E98" s="28"/>
      <c r="F98" s="28"/>
    </row>
    <row r="99" spans="1:6" ht="15">
      <c r="A99" s="27" t="s">
        <v>76</v>
      </c>
      <c r="B99" s="28"/>
      <c r="C99" s="28"/>
      <c r="D99" s="28"/>
      <c r="E99" s="28"/>
      <c r="F99" s="28"/>
    </row>
    <row r="100" spans="1:6">
      <c r="A100" s="28" t="s">
        <v>45</v>
      </c>
      <c r="B100" s="28">
        <v>1</v>
      </c>
      <c r="C100" s="28" t="s">
        <v>73</v>
      </c>
      <c r="D100" s="28"/>
      <c r="E100" s="28"/>
      <c r="F100" s="28"/>
    </row>
    <row r="101" spans="1:6">
      <c r="A101" s="28" t="s">
        <v>289</v>
      </c>
      <c r="B101" s="29">
        <f>B13*B12*B78/0.6</f>
        <v>1.2750952952672263</v>
      </c>
      <c r="C101" s="28" t="s">
        <v>290</v>
      </c>
      <c r="D101" s="28"/>
      <c r="E101" s="28"/>
      <c r="F101" s="28"/>
    </row>
    <row r="102" spans="1:6">
      <c r="A102" s="28" t="s">
        <v>291</v>
      </c>
      <c r="B102" s="37">
        <f>B78-B115</f>
        <v>6.0370857681582506E-2</v>
      </c>
      <c r="C102" s="28" t="s">
        <v>14</v>
      </c>
      <c r="D102" s="28"/>
      <c r="E102" s="28"/>
      <c r="F102" s="28" t="s">
        <v>104</v>
      </c>
    </row>
    <row r="103" spans="1:6">
      <c r="A103" s="28" t="s">
        <v>91</v>
      </c>
      <c r="B103" s="28">
        <v>0</v>
      </c>
      <c r="C103" s="29" t="s">
        <v>14</v>
      </c>
      <c r="D103" s="28"/>
      <c r="E103" s="28"/>
      <c r="F103" s="28"/>
    </row>
    <row r="104" spans="1:6">
      <c r="A104" s="28" t="s">
        <v>92</v>
      </c>
      <c r="B104" s="28">
        <v>0</v>
      </c>
      <c r="C104" s="29" t="s">
        <v>14</v>
      </c>
      <c r="D104" s="28"/>
      <c r="E104" s="28"/>
      <c r="F104" s="28"/>
    </row>
    <row r="105" spans="1:6">
      <c r="A105" s="28" t="s">
        <v>93</v>
      </c>
      <c r="B105" s="28">
        <v>0</v>
      </c>
      <c r="C105" s="29" t="s">
        <v>14</v>
      </c>
      <c r="D105" s="28"/>
      <c r="E105" s="28"/>
      <c r="F105" s="28"/>
    </row>
    <row r="106" spans="1:6">
      <c r="A106" s="28" t="s">
        <v>94</v>
      </c>
      <c r="B106" s="28">
        <v>0</v>
      </c>
      <c r="C106" s="29" t="s">
        <v>14</v>
      </c>
      <c r="D106" s="28"/>
      <c r="E106" s="28"/>
      <c r="F106" s="28"/>
    </row>
    <row r="107" spans="1:6">
      <c r="A107" s="28" t="s">
        <v>95</v>
      </c>
      <c r="B107" s="28">
        <v>0</v>
      </c>
      <c r="C107" s="29" t="s">
        <v>14</v>
      </c>
      <c r="D107" s="28"/>
      <c r="E107" s="28"/>
      <c r="F107" s="28"/>
    </row>
    <row r="109" spans="1:6" ht="15">
      <c r="A109" s="4" t="s">
        <v>293</v>
      </c>
      <c r="B109" s="2"/>
      <c r="C109" s="2"/>
      <c r="D109" s="2"/>
      <c r="E109" s="2"/>
      <c r="F109" s="2"/>
    </row>
    <row r="110" spans="1:6">
      <c r="A110" s="5" t="s">
        <v>337</v>
      </c>
      <c r="B110" s="5">
        <f>B13*B12*B78/0.6</f>
        <v>1.2750952952672263</v>
      </c>
      <c r="C110" s="5" t="s">
        <v>295</v>
      </c>
      <c r="D110" s="2"/>
      <c r="E110" s="2"/>
      <c r="F110" s="2"/>
    </row>
    <row r="111" spans="1:6">
      <c r="A111" s="2" t="s">
        <v>296</v>
      </c>
      <c r="B111" s="2"/>
      <c r="C111" s="2"/>
      <c r="D111" s="2"/>
      <c r="E111" s="5"/>
      <c r="F111" s="2"/>
    </row>
    <row r="112" spans="1:6">
      <c r="A112" s="2" t="s">
        <v>297</v>
      </c>
      <c r="B112" s="5">
        <f>B78</f>
        <v>6.1918268907562996E-2</v>
      </c>
      <c r="C112" s="5" t="s">
        <v>14</v>
      </c>
      <c r="D112" s="5"/>
      <c r="E112" s="5"/>
      <c r="F112" s="2"/>
    </row>
    <row r="113" spans="1:6">
      <c r="A113" s="2" t="s">
        <v>298</v>
      </c>
      <c r="B113" s="5">
        <f>(1*B101)/(0.0821*273)</f>
        <v>5.6890118602223955E-2</v>
      </c>
      <c r="C113" s="2"/>
      <c r="D113" s="5"/>
      <c r="E113" s="5"/>
      <c r="F113" s="2"/>
    </row>
    <row r="114" spans="1:6">
      <c r="A114" s="2" t="s">
        <v>299</v>
      </c>
      <c r="B114" s="2">
        <f>16*0.6+44*0.4</f>
        <v>27.200000000000003</v>
      </c>
      <c r="C114" s="2" t="s">
        <v>40</v>
      </c>
      <c r="D114" s="2"/>
      <c r="E114" s="2"/>
      <c r="F114" s="2"/>
    </row>
    <row r="115" spans="1:6">
      <c r="A115" s="2" t="s">
        <v>300</v>
      </c>
      <c r="B115" s="5">
        <f>B114*B113/1000</f>
        <v>1.5474112259804918E-3</v>
      </c>
      <c r="C115" s="2" t="s">
        <v>14</v>
      </c>
      <c r="D115" s="2"/>
      <c r="E115" s="2"/>
      <c r="F115" s="2"/>
    </row>
    <row r="116" spans="1:6" ht="20.25">
      <c r="A116" s="2" t="s">
        <v>301</v>
      </c>
      <c r="B116" s="5">
        <f>B112-B115</f>
        <v>6.0370857681582506E-2</v>
      </c>
      <c r="C116" s="2" t="s">
        <v>14</v>
      </c>
      <c r="D116" s="2"/>
      <c r="E116" s="40"/>
      <c r="F116" s="2"/>
    </row>
    <row r="117" spans="1:6">
      <c r="A117" s="2" t="s">
        <v>302</v>
      </c>
      <c r="B117" s="5">
        <f>(B78)/(B115/B6)</f>
        <v>48.857217181056917</v>
      </c>
      <c r="C117" s="2" t="s">
        <v>14</v>
      </c>
      <c r="D117" s="2"/>
      <c r="E117" s="2"/>
      <c r="F117" s="2"/>
    </row>
    <row r="119" spans="1:6" ht="15">
      <c r="A119" s="33" t="s">
        <v>303</v>
      </c>
      <c r="B119" s="24"/>
      <c r="C119" s="25"/>
      <c r="D119" s="24" t="s">
        <v>108</v>
      </c>
      <c r="E119" s="25"/>
      <c r="F119" s="25"/>
    </row>
    <row r="120" spans="1:6" ht="15">
      <c r="A120" s="24" t="s">
        <v>44</v>
      </c>
      <c r="B120" s="25"/>
      <c r="C120" s="25"/>
      <c r="D120" s="25"/>
      <c r="E120" s="25"/>
      <c r="F120" s="25"/>
    </row>
    <row r="121" spans="1:6">
      <c r="A121" s="25" t="s">
        <v>109</v>
      </c>
      <c r="B121" s="26">
        <v>2.0799999999999999E-4</v>
      </c>
      <c r="C121" s="25" t="s">
        <v>14</v>
      </c>
      <c r="D121" s="25"/>
      <c r="E121" s="25"/>
      <c r="F121" s="25" t="s">
        <v>110</v>
      </c>
    </row>
    <row r="122" spans="1:6">
      <c r="A122" s="25" t="s">
        <v>111</v>
      </c>
      <c r="B122" s="26">
        <v>5.4000000000000001E-11</v>
      </c>
      <c r="C122" s="25" t="s">
        <v>46</v>
      </c>
      <c r="D122" s="25"/>
      <c r="E122" s="25"/>
      <c r="F122" s="25" t="s">
        <v>112</v>
      </c>
    </row>
    <row r="123" spans="1:6">
      <c r="A123" s="25" t="s">
        <v>85</v>
      </c>
      <c r="B123" s="25">
        <v>0.18562874251497</v>
      </c>
      <c r="C123" s="25" t="s">
        <v>86</v>
      </c>
      <c r="D123" s="25"/>
      <c r="E123" s="25"/>
      <c r="F123" s="25" t="s">
        <v>68</v>
      </c>
    </row>
    <row r="124" spans="1:6">
      <c r="A124" s="25" t="s">
        <v>113</v>
      </c>
      <c r="B124" s="26">
        <v>1.4999999999999999E-4</v>
      </c>
      <c r="C124" s="25" t="s">
        <v>14</v>
      </c>
      <c r="D124" s="25"/>
      <c r="E124" s="25"/>
      <c r="F124" s="25" t="s">
        <v>114</v>
      </c>
    </row>
    <row r="125" spans="1:6">
      <c r="A125" s="25" t="s">
        <v>115</v>
      </c>
      <c r="B125" s="26">
        <v>3.98E-6</v>
      </c>
      <c r="C125" s="25" t="s">
        <v>14</v>
      </c>
      <c r="D125" s="25"/>
      <c r="E125" s="25"/>
      <c r="F125" s="25" t="s">
        <v>116</v>
      </c>
    </row>
    <row r="126" spans="1:6">
      <c r="A126" s="25"/>
      <c r="B126" s="26"/>
      <c r="C126" s="25"/>
      <c r="D126" s="25"/>
      <c r="E126" s="25"/>
      <c r="F126" s="25"/>
    </row>
    <row r="127" spans="1:6" ht="15">
      <c r="A127" s="24" t="s">
        <v>61</v>
      </c>
      <c r="B127" s="25"/>
      <c r="C127" s="25"/>
      <c r="D127" s="25"/>
      <c r="E127" s="25"/>
      <c r="F127" s="25"/>
    </row>
    <row r="128" spans="1:6">
      <c r="A128" s="25" t="s">
        <v>47</v>
      </c>
      <c r="B128" s="25">
        <v>1</v>
      </c>
      <c r="C128" s="25" t="s">
        <v>46</v>
      </c>
      <c r="D128" s="25"/>
      <c r="E128" s="25"/>
      <c r="F128" s="25"/>
    </row>
    <row r="129" spans="1:6">
      <c r="A129" s="25" t="s">
        <v>117</v>
      </c>
      <c r="B129" s="25">
        <v>1</v>
      </c>
      <c r="C129" s="25" t="s">
        <v>23</v>
      </c>
      <c r="D129" s="25"/>
      <c r="E129" s="25"/>
      <c r="F129" s="25"/>
    </row>
    <row r="130" spans="1:6">
      <c r="A130" s="25" t="s">
        <v>92</v>
      </c>
      <c r="B130" s="26">
        <v>0.97457000000000005</v>
      </c>
      <c r="C130" s="25" t="s">
        <v>14</v>
      </c>
      <c r="D130" s="25"/>
      <c r="E130" s="25"/>
      <c r="F130" s="25"/>
    </row>
    <row r="131" spans="1:6">
      <c r="A131" s="25" t="s">
        <v>118</v>
      </c>
      <c r="B131" s="26">
        <v>1.28</v>
      </c>
      <c r="C131" s="25" t="s">
        <v>50</v>
      </c>
      <c r="D131" s="25"/>
      <c r="E131" s="25"/>
      <c r="F131" s="25"/>
    </row>
    <row r="132" spans="1:6">
      <c r="A132" s="25" t="s">
        <v>94</v>
      </c>
      <c r="B132" s="26">
        <v>6.7000000000000002E-6</v>
      </c>
      <c r="C132" s="25" t="s">
        <v>14</v>
      </c>
      <c r="D132" s="25"/>
      <c r="E132" s="25"/>
      <c r="F132" s="25"/>
    </row>
    <row r="133" spans="1:6">
      <c r="A133" s="25" t="s">
        <v>95</v>
      </c>
      <c r="B133" s="25">
        <v>8.6E-3</v>
      </c>
      <c r="C133" s="25" t="s">
        <v>14</v>
      </c>
      <c r="D133" s="25"/>
      <c r="E133" s="25"/>
      <c r="F133" s="25"/>
    </row>
    <row r="134" spans="1:6">
      <c r="A134" s="25" t="s">
        <v>119</v>
      </c>
      <c r="B134" s="25">
        <v>4.8779999999999997E-2</v>
      </c>
      <c r="C134" s="25" t="s">
        <v>14</v>
      </c>
      <c r="D134" s="25"/>
      <c r="E134" s="25"/>
      <c r="F134" s="25"/>
    </row>
    <row r="135" spans="1:6">
      <c r="A135" s="25" t="s">
        <v>120</v>
      </c>
      <c r="B135" s="26">
        <v>6.5989999999999998E-6</v>
      </c>
      <c r="C135" s="25" t="s">
        <v>14</v>
      </c>
      <c r="D135" s="25"/>
      <c r="E135" s="25"/>
      <c r="F135" s="25"/>
    </row>
    <row r="137" spans="1:6" ht="15">
      <c r="A137" s="34" t="s">
        <v>186</v>
      </c>
      <c r="B137" s="28"/>
      <c r="C137" s="28"/>
      <c r="D137" s="27" t="s">
        <v>121</v>
      </c>
      <c r="E137" s="28"/>
      <c r="F137" s="28"/>
    </row>
    <row r="138" spans="1:6" ht="15">
      <c r="A138" s="27" t="s">
        <v>44</v>
      </c>
      <c r="B138" s="28"/>
      <c r="C138" s="28"/>
      <c r="D138" s="28"/>
      <c r="E138" s="28"/>
      <c r="F138" s="28"/>
    </row>
    <row r="139" spans="1:6">
      <c r="A139" s="28" t="s">
        <v>85</v>
      </c>
      <c r="B139" s="28">
        <v>2.7244000000000001E-3</v>
      </c>
      <c r="C139" s="28" t="s">
        <v>86</v>
      </c>
      <c r="D139" s="28"/>
      <c r="E139" s="28"/>
      <c r="F139" s="28" t="s">
        <v>68</v>
      </c>
    </row>
    <row r="140" spans="1:6">
      <c r="A140" s="28" t="s">
        <v>122</v>
      </c>
      <c r="B140" s="29">
        <v>6.4679999999999999E-7</v>
      </c>
      <c r="C140" s="28" t="s">
        <v>46</v>
      </c>
      <c r="D140" s="28"/>
      <c r="E140" s="28"/>
      <c r="F140" s="28" t="s">
        <v>123</v>
      </c>
    </row>
    <row r="141" spans="1:6">
      <c r="A141" s="28"/>
      <c r="B141" s="28"/>
      <c r="C141" s="28"/>
      <c r="D141" s="28"/>
      <c r="E141" s="28"/>
      <c r="F141" s="28"/>
    </row>
    <row r="142" spans="1:6" ht="15">
      <c r="A142" s="27" t="s">
        <v>61</v>
      </c>
      <c r="B142" s="28"/>
      <c r="C142" s="28"/>
      <c r="D142" s="28"/>
      <c r="E142" s="28"/>
      <c r="F142" s="28"/>
    </row>
    <row r="143" spans="1:6">
      <c r="A143" s="28" t="s">
        <v>124</v>
      </c>
      <c r="B143" s="28">
        <v>1</v>
      </c>
      <c r="C143" s="28" t="s">
        <v>46</v>
      </c>
      <c r="D143" s="28"/>
      <c r="E143" s="28"/>
      <c r="F143" s="28"/>
    </row>
    <row r="144" spans="1:6">
      <c r="A144" s="28" t="s">
        <v>125</v>
      </c>
      <c r="B144" s="28">
        <v>0</v>
      </c>
      <c r="C144" s="28" t="s">
        <v>50</v>
      </c>
      <c r="D144" s="28"/>
      <c r="E144" s="28" t="s">
        <v>126</v>
      </c>
      <c r="F144" s="28"/>
    </row>
    <row r="145" spans="1:6">
      <c r="A145" s="28" t="s">
        <v>128</v>
      </c>
      <c r="B145" s="29">
        <v>9.7999999999999992E-10</v>
      </c>
      <c r="C145" s="28" t="s">
        <v>14</v>
      </c>
      <c r="D145" s="28"/>
      <c r="E145" s="28"/>
      <c r="F145" s="28"/>
    </row>
    <row r="146" spans="1:6">
      <c r="A146" s="28" t="s">
        <v>129</v>
      </c>
      <c r="B146" s="29">
        <v>1.4700000000000001E-7</v>
      </c>
      <c r="C146" s="28" t="s">
        <v>14</v>
      </c>
      <c r="D146" s="28"/>
      <c r="E146" s="28"/>
      <c r="F146" s="28"/>
    </row>
    <row r="147" spans="1:6">
      <c r="A147" s="28" t="s">
        <v>130</v>
      </c>
      <c r="B147" s="29">
        <v>3.9200000000000002E-7</v>
      </c>
      <c r="C147" s="28" t="s">
        <v>14</v>
      </c>
      <c r="D147" s="28"/>
      <c r="E147" s="28"/>
      <c r="F147" s="28"/>
    </row>
    <row r="148" spans="1:6">
      <c r="A148" s="28" t="s">
        <v>131</v>
      </c>
      <c r="B148" s="29">
        <v>9.7999999999999994E-12</v>
      </c>
      <c r="C148" s="28" t="s">
        <v>14</v>
      </c>
      <c r="D148" s="28"/>
      <c r="E148" s="28"/>
      <c r="F148" s="28"/>
    </row>
    <row r="149" spans="1:6">
      <c r="A149" s="28" t="s">
        <v>132</v>
      </c>
      <c r="B149" s="29">
        <v>6.8599999999999998E-7</v>
      </c>
      <c r="C149" s="28" t="s">
        <v>14</v>
      </c>
      <c r="D149" s="28"/>
      <c r="E149" s="28"/>
      <c r="F149" s="28"/>
    </row>
    <row r="150" spans="1:6">
      <c r="A150" s="28" t="s">
        <v>92</v>
      </c>
      <c r="B150" s="28">
        <v>5.4879999999999998E-2</v>
      </c>
      <c r="C150" s="28" t="s">
        <v>14</v>
      </c>
      <c r="D150" s="28"/>
      <c r="E150" s="28"/>
      <c r="F150" s="28"/>
    </row>
    <row r="151" spans="1:6">
      <c r="A151" s="28" t="s">
        <v>133</v>
      </c>
      <c r="B151" s="29">
        <v>5.7819999999999999E-6</v>
      </c>
      <c r="C151" s="28" t="s">
        <v>14</v>
      </c>
      <c r="D151" s="28"/>
      <c r="E151" s="28"/>
      <c r="F151" s="28"/>
    </row>
    <row r="152" spans="1:6">
      <c r="A152" s="28" t="s">
        <v>93</v>
      </c>
      <c r="B152" s="29">
        <v>4.8999999999999997E-7</v>
      </c>
      <c r="C152" s="28" t="s">
        <v>14</v>
      </c>
      <c r="D152" s="28"/>
      <c r="E152" s="28"/>
      <c r="F152" s="28"/>
    </row>
    <row r="153" spans="1:6">
      <c r="A153" s="28" t="s">
        <v>134</v>
      </c>
      <c r="B153" s="29">
        <v>2.9400000000000001E-17</v>
      </c>
      <c r="C153" s="28" t="s">
        <v>14</v>
      </c>
      <c r="D153" s="28"/>
      <c r="E153" s="28"/>
      <c r="F153" s="28"/>
    </row>
    <row r="154" spans="1:6">
      <c r="A154" s="28" t="s">
        <v>135</v>
      </c>
      <c r="B154" s="29">
        <v>9.8000000000000004E-8</v>
      </c>
      <c r="C154" s="28" t="s">
        <v>14</v>
      </c>
      <c r="D154" s="28"/>
      <c r="E154" s="28"/>
      <c r="F154" s="28"/>
    </row>
    <row r="155" spans="1:6">
      <c r="A155" s="28" t="s">
        <v>136</v>
      </c>
      <c r="B155" s="29">
        <v>2.9400000000000003E-11</v>
      </c>
      <c r="C155" s="28" t="s">
        <v>14</v>
      </c>
      <c r="D155" s="28"/>
      <c r="E155" s="28"/>
      <c r="F155" s="28"/>
    </row>
    <row r="156" spans="1:6">
      <c r="A156" s="28" t="s">
        <v>95</v>
      </c>
      <c r="B156" s="29">
        <v>1.9599999999999999E-6</v>
      </c>
      <c r="C156" s="28" t="s">
        <v>14</v>
      </c>
      <c r="D156" s="28"/>
      <c r="E156" s="28"/>
      <c r="F156" s="28"/>
    </row>
    <row r="157" spans="1:6">
      <c r="A157" s="28" t="s">
        <v>137</v>
      </c>
      <c r="B157" s="29">
        <v>1.2739999999999999E-7</v>
      </c>
      <c r="C157" s="28" t="s">
        <v>14</v>
      </c>
      <c r="D157" s="28"/>
      <c r="E157" s="28"/>
      <c r="F157" s="28"/>
    </row>
    <row r="158" spans="1:6">
      <c r="A158" s="28" t="s">
        <v>138</v>
      </c>
      <c r="B158" s="29">
        <v>2.9400000000000002E-9</v>
      </c>
      <c r="C158" s="28" t="s">
        <v>14</v>
      </c>
      <c r="D158" s="28"/>
      <c r="E158" s="28"/>
      <c r="F158" s="28"/>
    </row>
    <row r="159" spans="1:6">
      <c r="A159" s="28" t="s">
        <v>139</v>
      </c>
      <c r="B159" s="29">
        <v>9.7019999999999996E-6</v>
      </c>
      <c r="C159" s="28" t="s">
        <v>14</v>
      </c>
      <c r="D159" s="28"/>
      <c r="E159" s="28"/>
      <c r="F159" s="28"/>
    </row>
    <row r="160" spans="1:6">
      <c r="A160" s="28" t="s">
        <v>140</v>
      </c>
      <c r="B160" s="29">
        <v>9.8000000000000001E-9</v>
      </c>
      <c r="C160" s="28" t="s">
        <v>14</v>
      </c>
      <c r="D160" s="28"/>
      <c r="E160" s="28"/>
      <c r="F160" s="28"/>
    </row>
    <row r="161" spans="1:6">
      <c r="A161" s="28" t="s">
        <v>141</v>
      </c>
      <c r="B161" s="29">
        <v>9.8000000000000004E-8</v>
      </c>
      <c r="C161" s="28" t="s">
        <v>14</v>
      </c>
      <c r="D161" s="28"/>
      <c r="E161" s="28"/>
      <c r="F161" s="28"/>
    </row>
    <row r="162" spans="1:6">
      <c r="A162" s="28" t="s">
        <v>142</v>
      </c>
      <c r="B162" s="29">
        <v>1.176E-6</v>
      </c>
      <c r="C162" s="28" t="s">
        <v>14</v>
      </c>
      <c r="D162" s="28"/>
      <c r="E162" s="28"/>
      <c r="F162" s="28"/>
    </row>
    <row r="163" spans="1:6">
      <c r="A163" s="28" t="s">
        <v>143</v>
      </c>
      <c r="B163" s="29">
        <v>1.9600000000000001E-7</v>
      </c>
      <c r="C163" s="28" t="s">
        <v>14</v>
      </c>
      <c r="D163" s="28"/>
      <c r="E163" s="28"/>
      <c r="F163" s="28"/>
    </row>
    <row r="164" spans="1:6">
      <c r="A164" s="28" t="s">
        <v>144</v>
      </c>
      <c r="B164" s="29">
        <v>1.96E-8</v>
      </c>
      <c r="C164" s="28" t="s">
        <v>14</v>
      </c>
      <c r="D164" s="28"/>
      <c r="E164" s="28"/>
      <c r="F164" s="28"/>
    </row>
    <row r="165" spans="1:6">
      <c r="A165" s="28" t="s">
        <v>145</v>
      </c>
      <c r="B165" s="29">
        <v>4.9000000000000002E-8</v>
      </c>
      <c r="C165" s="28" t="s">
        <v>14</v>
      </c>
      <c r="D165" s="28"/>
      <c r="E165" s="28"/>
      <c r="F165" s="28"/>
    </row>
    <row r="166" spans="1:6">
      <c r="A166" s="28" t="s">
        <v>146</v>
      </c>
      <c r="B166" s="29">
        <v>4.9000000000000002E-8</v>
      </c>
      <c r="C166" s="28" t="s">
        <v>14</v>
      </c>
      <c r="D166" s="28"/>
      <c r="E166" s="28"/>
      <c r="F166" s="28"/>
    </row>
    <row r="167" spans="1:6">
      <c r="A167" s="28" t="s">
        <v>120</v>
      </c>
      <c r="B167" s="29">
        <v>4.8999999999999997E-7</v>
      </c>
      <c r="C167" s="28" t="s">
        <v>14</v>
      </c>
      <c r="D167" s="28"/>
      <c r="E167" s="28"/>
      <c r="F167" s="28"/>
    </row>
    <row r="168" spans="1:6">
      <c r="A168" s="28" t="s">
        <v>147</v>
      </c>
      <c r="B168" s="29">
        <v>1.9600000000000001E-7</v>
      </c>
      <c r="C168" s="28" t="s">
        <v>14</v>
      </c>
      <c r="D168" s="29"/>
      <c r="E168" s="28"/>
      <c r="F168" s="28"/>
    </row>
    <row r="170" spans="1:6" ht="15">
      <c r="A170" s="30" t="s">
        <v>304</v>
      </c>
      <c r="B170" s="16"/>
      <c r="C170" s="16"/>
      <c r="D170" s="16"/>
      <c r="E170" s="16"/>
      <c r="F170" s="16"/>
    </row>
    <row r="171" spans="1:6" ht="15">
      <c r="A171" s="15" t="s">
        <v>44</v>
      </c>
      <c r="B171" s="16"/>
      <c r="C171" s="16"/>
      <c r="D171" s="16"/>
      <c r="E171" s="16"/>
      <c r="F171" s="16"/>
    </row>
    <row r="172" spans="1:6">
      <c r="A172" s="16" t="s">
        <v>85</v>
      </c>
      <c r="B172" s="16">
        <v>4.6333333333333296E-3</v>
      </c>
      <c r="C172" s="16" t="s">
        <v>86</v>
      </c>
      <c r="D172" s="16"/>
      <c r="E172" s="16"/>
      <c r="F172" s="16" t="s">
        <v>68</v>
      </c>
    </row>
    <row r="173" spans="1:6">
      <c r="A173" s="16" t="s">
        <v>149</v>
      </c>
      <c r="B173" s="17">
        <v>3.1111111111111102E-9</v>
      </c>
      <c r="C173" s="16" t="s">
        <v>46</v>
      </c>
      <c r="D173" s="16"/>
      <c r="E173" s="16"/>
      <c r="F173" s="16" t="s">
        <v>150</v>
      </c>
    </row>
    <row r="174" spans="1:6">
      <c r="A174" s="16" t="s">
        <v>151</v>
      </c>
      <c r="B174" s="16">
        <v>3.0864197530864199E-2</v>
      </c>
      <c r="C174" s="16" t="s">
        <v>23</v>
      </c>
      <c r="D174" s="16"/>
      <c r="E174" s="16"/>
      <c r="F174" s="16" t="s">
        <v>152</v>
      </c>
    </row>
    <row r="175" spans="1:6">
      <c r="A175" s="16"/>
      <c r="B175" s="16"/>
      <c r="C175" s="16"/>
      <c r="D175" s="16"/>
      <c r="E175" s="16"/>
      <c r="F175" s="16"/>
    </row>
    <row r="176" spans="1:6" ht="15">
      <c r="A176" s="15" t="s">
        <v>76</v>
      </c>
      <c r="B176" s="16"/>
      <c r="C176" s="16"/>
      <c r="D176" s="16"/>
      <c r="E176" s="16"/>
      <c r="F176" s="16"/>
    </row>
    <row r="177" spans="1:6">
      <c r="A177" s="16" t="s">
        <v>87</v>
      </c>
      <c r="B177" s="16">
        <v>1</v>
      </c>
      <c r="C177" s="16" t="s">
        <v>50</v>
      </c>
      <c r="D177" s="16"/>
      <c r="E177" s="16"/>
      <c r="F177" s="16"/>
    </row>
    <row r="178" spans="1:6">
      <c r="A178" s="16" t="s">
        <v>128</v>
      </c>
      <c r="B178" s="17">
        <v>1.11111111111111E-9</v>
      </c>
      <c r="C178" s="16" t="s">
        <v>14</v>
      </c>
      <c r="D178" s="16"/>
      <c r="E178" s="16"/>
      <c r="F178" s="16"/>
    </row>
    <row r="179" spans="1:6">
      <c r="A179" s="16" t="s">
        <v>129</v>
      </c>
      <c r="B179" s="17">
        <v>1.6666666666666699E-7</v>
      </c>
      <c r="C179" s="16" t="s">
        <v>14</v>
      </c>
      <c r="D179" s="16"/>
      <c r="E179" s="16"/>
      <c r="F179" s="16"/>
    </row>
    <row r="180" spans="1:6">
      <c r="A180" s="16" t="s">
        <v>130</v>
      </c>
      <c r="B180" s="17">
        <v>4.4444444444444401E-7</v>
      </c>
      <c r="C180" s="16" t="s">
        <v>14</v>
      </c>
      <c r="D180" s="16"/>
      <c r="E180" s="16"/>
      <c r="F180" s="16"/>
    </row>
    <row r="181" spans="1:6">
      <c r="A181" s="17" t="s">
        <v>131</v>
      </c>
      <c r="B181" s="17">
        <v>1.11111111111111E-11</v>
      </c>
      <c r="C181" s="16" t="s">
        <v>14</v>
      </c>
      <c r="D181" s="16"/>
      <c r="E181" s="16"/>
      <c r="F181" s="16"/>
    </row>
    <row r="182" spans="1:6">
      <c r="A182" s="17" t="s">
        <v>132</v>
      </c>
      <c r="B182" s="17">
        <v>7.77777777777778E-7</v>
      </c>
      <c r="C182" s="16" t="s">
        <v>14</v>
      </c>
      <c r="D182" s="16"/>
      <c r="E182" s="16"/>
      <c r="F182" s="16"/>
    </row>
    <row r="183" spans="1:6">
      <c r="A183" s="17" t="s">
        <v>153</v>
      </c>
      <c r="B183" s="16">
        <v>6.22222222222222E-2</v>
      </c>
      <c r="C183" s="16" t="s">
        <v>14</v>
      </c>
      <c r="D183" s="16"/>
      <c r="E183" s="16"/>
      <c r="F183" s="16"/>
    </row>
    <row r="184" spans="1:6">
      <c r="A184" s="17" t="s">
        <v>154</v>
      </c>
      <c r="B184" s="17">
        <v>1.5555555555555599E-5</v>
      </c>
      <c r="C184" s="16" t="s">
        <v>14</v>
      </c>
      <c r="D184" s="16"/>
      <c r="E184" s="16"/>
      <c r="F184" s="16"/>
    </row>
    <row r="185" spans="1:6">
      <c r="A185" s="17" t="s">
        <v>93</v>
      </c>
      <c r="B185" s="17">
        <v>1.11111111111111E-7</v>
      </c>
      <c r="C185" s="16" t="s">
        <v>14</v>
      </c>
      <c r="D185" s="16"/>
      <c r="E185" s="16"/>
      <c r="F185" s="16"/>
    </row>
    <row r="186" spans="1:6">
      <c r="A186" s="16" t="s">
        <v>134</v>
      </c>
      <c r="B186" s="17">
        <v>3.3333333333333298E-17</v>
      </c>
      <c r="C186" s="16" t="s">
        <v>14</v>
      </c>
      <c r="D186" s="16"/>
      <c r="E186" s="16"/>
      <c r="F186" s="17"/>
    </row>
    <row r="187" spans="1:6">
      <c r="A187" s="16" t="s">
        <v>135</v>
      </c>
      <c r="B187" s="17">
        <v>1.11111111111111E-7</v>
      </c>
      <c r="C187" s="16" t="s">
        <v>14</v>
      </c>
      <c r="D187" s="16"/>
      <c r="E187" s="17"/>
      <c r="F187" s="16"/>
    </row>
    <row r="188" spans="1:6">
      <c r="A188" s="17" t="s">
        <v>136</v>
      </c>
      <c r="B188" s="17">
        <v>3.3333333333333302E-11</v>
      </c>
      <c r="C188" s="16" t="s">
        <v>14</v>
      </c>
      <c r="D188" s="16"/>
      <c r="E188" s="16"/>
      <c r="F188" s="16"/>
    </row>
    <row r="189" spans="1:6">
      <c r="A189" s="16" t="s">
        <v>155</v>
      </c>
      <c r="B189" s="17">
        <v>2.22222222222222E-6</v>
      </c>
      <c r="C189" s="16" t="s">
        <v>14</v>
      </c>
      <c r="D189" s="16"/>
      <c r="E189" s="16"/>
      <c r="F189" s="16"/>
    </row>
    <row r="190" spans="1:6">
      <c r="A190" s="16" t="s">
        <v>139</v>
      </c>
      <c r="B190" s="17">
        <v>2.5555555555555602E-5</v>
      </c>
      <c r="C190" s="16" t="s">
        <v>14</v>
      </c>
      <c r="D190" s="16"/>
      <c r="E190" s="16"/>
      <c r="F190" s="16"/>
    </row>
    <row r="191" spans="1:6">
      <c r="A191" s="16" t="s">
        <v>140</v>
      </c>
      <c r="B191" s="17">
        <v>1.11111111111111E-8</v>
      </c>
      <c r="C191" s="16" t="s">
        <v>14</v>
      </c>
      <c r="D191" s="16"/>
      <c r="E191" s="16"/>
      <c r="F191" s="16"/>
    </row>
    <row r="192" spans="1:6">
      <c r="A192" s="16" t="s">
        <v>141</v>
      </c>
      <c r="B192" s="17">
        <v>1.11111111111111E-7</v>
      </c>
      <c r="C192" s="16" t="s">
        <v>14</v>
      </c>
      <c r="D192" s="16"/>
      <c r="E192" s="16"/>
      <c r="F192" s="16"/>
    </row>
    <row r="193" spans="1:6">
      <c r="A193" s="17" t="s">
        <v>142</v>
      </c>
      <c r="B193" s="17">
        <v>1.33333333333333E-6</v>
      </c>
      <c r="C193" s="16" t="s">
        <v>14</v>
      </c>
      <c r="D193" s="16"/>
      <c r="E193" s="16"/>
      <c r="F193" s="16"/>
    </row>
    <row r="194" spans="1:6">
      <c r="A194" s="17" t="s">
        <v>143</v>
      </c>
      <c r="B194" s="17">
        <v>2.2222222222222201E-7</v>
      </c>
      <c r="C194" s="16" t="s">
        <v>14</v>
      </c>
      <c r="D194" s="16"/>
      <c r="E194" s="16"/>
      <c r="F194" s="16"/>
    </row>
    <row r="195" spans="1:6">
      <c r="A195" s="16" t="s">
        <v>144</v>
      </c>
      <c r="B195" s="17">
        <v>2.2222222222222201E-8</v>
      </c>
      <c r="C195" s="16" t="s">
        <v>14</v>
      </c>
      <c r="D195" s="16"/>
      <c r="E195" s="16"/>
      <c r="F195" s="16"/>
    </row>
    <row r="196" spans="1:6">
      <c r="A196" s="16" t="s">
        <v>120</v>
      </c>
      <c r="B196" s="17">
        <v>6.1111111111111095E-7</v>
      </c>
      <c r="C196" s="16" t="s">
        <v>14</v>
      </c>
      <c r="D196" s="16"/>
      <c r="E196" s="16"/>
      <c r="F196" s="16"/>
    </row>
    <row r="197" spans="1:6">
      <c r="A197" s="17" t="s">
        <v>147</v>
      </c>
      <c r="B197" s="17">
        <v>2.2222222222222201E-7</v>
      </c>
      <c r="C197" s="16" t="s">
        <v>14</v>
      </c>
      <c r="D197" s="16"/>
      <c r="E197" s="16"/>
      <c r="F197" s="16"/>
    </row>
    <row r="201" spans="1:6">
      <c r="B201" s="3"/>
    </row>
    <row r="202" spans="1:6">
      <c r="B202" s="3"/>
    </row>
    <row r="203" spans="1:6">
      <c r="B203" s="3"/>
    </row>
    <row r="210" spans="1:6">
      <c r="E210" s="3"/>
      <c r="F210" s="3"/>
    </row>
    <row r="211" spans="1:6">
      <c r="B211" s="3"/>
      <c r="E211" s="3"/>
      <c r="F211" s="3"/>
    </row>
    <row r="212" spans="1:6">
      <c r="B212" s="3"/>
      <c r="C212" s="3"/>
      <c r="E212" s="3"/>
      <c r="F212" s="3"/>
    </row>
    <row r="213" spans="1:6">
      <c r="B213" s="3"/>
      <c r="C213" s="3"/>
      <c r="E213" s="3"/>
      <c r="F213" s="3"/>
    </row>
    <row r="214" spans="1:6">
      <c r="B214" s="3"/>
      <c r="E214" s="3"/>
      <c r="F214" s="3"/>
    </row>
    <row r="215" spans="1:6">
      <c r="B215" s="3"/>
    </row>
    <row r="216" spans="1:6">
      <c r="A216" s="3"/>
      <c r="B216" s="3"/>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EDFF1-0426-4EB7-B194-6B96F27F2477}">
  <dimension ref="A1:F215"/>
  <sheetViews>
    <sheetView topLeftCell="A28" zoomScale="36" zoomScaleNormal="70" workbookViewId="0">
      <selection activeCell="E74" sqref="E74"/>
    </sheetView>
  </sheetViews>
  <sheetFormatPr baseColWidth="10" defaultColWidth="9" defaultRowHeight="14.25"/>
  <cols>
    <col min="1" max="1" width="78.125" customWidth="1"/>
    <col min="2" max="2" width="79" customWidth="1"/>
    <col min="3" max="3" width="21.75" customWidth="1"/>
    <col min="4" max="4" width="28" customWidth="1"/>
    <col min="5" max="5" width="99.75" bestFit="1" customWidth="1"/>
    <col min="6" max="6" width="45.375" customWidth="1"/>
  </cols>
  <sheetData>
    <row r="1" spans="1:6" ht="15">
      <c r="A1" s="6" t="s">
        <v>6</v>
      </c>
      <c r="B1" s="6" t="s">
        <v>7</v>
      </c>
      <c r="C1" s="6" t="s">
        <v>8</v>
      </c>
      <c r="D1" s="6" t="s">
        <v>9</v>
      </c>
      <c r="E1" s="6" t="s">
        <v>10</v>
      </c>
      <c r="F1" s="6" t="s">
        <v>11</v>
      </c>
    </row>
    <row r="3" spans="1:6" ht="15">
      <c r="A3" s="36" t="s">
        <v>159</v>
      </c>
      <c r="B3" s="35"/>
      <c r="C3" s="35"/>
      <c r="D3" s="35"/>
      <c r="E3" s="35"/>
      <c r="F3" s="35"/>
    </row>
    <row r="4" spans="1:6">
      <c r="A4" s="35" t="s">
        <v>351</v>
      </c>
      <c r="B4" s="35">
        <v>0.1</v>
      </c>
      <c r="C4" s="35" t="s">
        <v>14</v>
      </c>
      <c r="D4" s="35" t="s">
        <v>339</v>
      </c>
      <c r="E4" s="35"/>
      <c r="F4" s="35"/>
    </row>
    <row r="5" spans="1:6">
      <c r="A5" s="35" t="s">
        <v>352</v>
      </c>
      <c r="B5" s="35">
        <v>0.46800000000000003</v>
      </c>
      <c r="C5" s="35"/>
      <c r="D5" s="35"/>
      <c r="E5" s="35"/>
      <c r="F5" s="35"/>
    </row>
    <row r="6" spans="1:6">
      <c r="A6" s="35" t="s">
        <v>160</v>
      </c>
      <c r="B6" s="35">
        <v>1.2210000000000001</v>
      </c>
      <c r="C6" s="35" t="s">
        <v>17</v>
      </c>
      <c r="D6" s="35"/>
      <c r="E6" s="35"/>
      <c r="F6" s="35"/>
    </row>
    <row r="7" spans="1:6">
      <c r="A7" s="42" t="s">
        <v>353</v>
      </c>
      <c r="B7" s="35">
        <v>0.65</v>
      </c>
      <c r="C7" s="35"/>
      <c r="D7" s="35" t="s">
        <v>162</v>
      </c>
      <c r="E7" s="35"/>
      <c r="F7" s="35"/>
    </row>
    <row r="8" spans="1:6">
      <c r="A8" s="42" t="s">
        <v>354</v>
      </c>
      <c r="B8" s="35">
        <v>0.33200000000000002</v>
      </c>
      <c r="C8" s="35"/>
      <c r="D8" s="35" t="s">
        <v>162</v>
      </c>
      <c r="E8" s="35"/>
      <c r="F8" s="35"/>
    </row>
    <row r="9" spans="1:6">
      <c r="A9" s="42" t="s">
        <v>355</v>
      </c>
      <c r="B9" s="35">
        <v>1.7999999999999999E-2</v>
      </c>
      <c r="C9" s="35"/>
      <c r="D9" s="35" t="s">
        <v>162</v>
      </c>
      <c r="E9" s="35"/>
      <c r="F9" s="35"/>
    </row>
    <row r="10" spans="1:6">
      <c r="A10" s="42" t="s">
        <v>356</v>
      </c>
      <c r="B10" s="35">
        <v>0.78600000000000003</v>
      </c>
      <c r="C10" s="35"/>
      <c r="D10" s="35" t="s">
        <v>162</v>
      </c>
      <c r="E10" s="35"/>
      <c r="F10" s="35"/>
    </row>
    <row r="11" spans="1:6">
      <c r="A11" s="35" t="s">
        <v>166</v>
      </c>
      <c r="B11" s="35">
        <v>4.3249999999999997E-2</v>
      </c>
      <c r="C11" s="35" t="s">
        <v>14</v>
      </c>
      <c r="D11" s="35" t="s">
        <v>167</v>
      </c>
      <c r="E11" s="35"/>
      <c r="F11" s="35"/>
    </row>
    <row r="12" spans="1:6">
      <c r="A12" s="42" t="s">
        <v>357</v>
      </c>
      <c r="B12" s="35">
        <f>16.4*4</f>
        <v>65.599999999999994</v>
      </c>
      <c r="C12" s="35" t="s">
        <v>171</v>
      </c>
      <c r="D12" s="35" t="s">
        <v>172</v>
      </c>
      <c r="E12" s="35"/>
      <c r="F12" s="35"/>
    </row>
    <row r="13" spans="1:6">
      <c r="A13" s="42" t="s">
        <v>358</v>
      </c>
      <c r="B13" s="35">
        <v>0.21099999999999999</v>
      </c>
      <c r="C13" s="35" t="s">
        <v>174</v>
      </c>
      <c r="D13" s="35" t="s">
        <v>172</v>
      </c>
      <c r="E13" s="35"/>
      <c r="F13" s="35"/>
    </row>
    <row r="14" spans="1:6">
      <c r="A14" s="35" t="s">
        <v>22</v>
      </c>
      <c r="B14" s="35">
        <v>1.53579</v>
      </c>
      <c r="C14" s="35" t="s">
        <v>23</v>
      </c>
      <c r="D14" s="35"/>
      <c r="E14" s="35"/>
      <c r="F14" s="35"/>
    </row>
    <row r="15" spans="1:6">
      <c r="A15" s="35" t="s">
        <v>24</v>
      </c>
      <c r="B15" s="35">
        <v>2.513E-2</v>
      </c>
      <c r="C15" s="35" t="s">
        <v>23</v>
      </c>
      <c r="D15" s="35"/>
      <c r="E15" s="35"/>
      <c r="F15" s="35"/>
    </row>
    <row r="16" spans="1:6">
      <c r="A16" s="35" t="s">
        <v>359</v>
      </c>
      <c r="B16" s="35">
        <v>9.9</v>
      </c>
      <c r="C16" s="35" t="s">
        <v>177</v>
      </c>
      <c r="D16" s="35"/>
      <c r="E16" s="35"/>
      <c r="F16" s="35"/>
    </row>
    <row r="17" spans="1:6">
      <c r="A17" s="35" t="s">
        <v>362</v>
      </c>
      <c r="B17" s="35">
        <f>1.1/100</f>
        <v>1.1000000000000001E-2</v>
      </c>
      <c r="C17" s="35"/>
      <c r="D17" s="35" t="s">
        <v>172</v>
      </c>
      <c r="E17" s="35"/>
      <c r="F17" s="35"/>
    </row>
    <row r="18" spans="1:6">
      <c r="A18" s="35" t="s">
        <v>363</v>
      </c>
      <c r="B18" s="35">
        <f>8.8/100</f>
        <v>8.8000000000000009E-2</v>
      </c>
      <c r="C18" s="35"/>
      <c r="D18" s="35" t="s">
        <v>172</v>
      </c>
      <c r="E18" s="35"/>
      <c r="F18" s="35"/>
    </row>
    <row r="19" spans="1:6">
      <c r="A19" s="35" t="s">
        <v>364</v>
      </c>
      <c r="B19" s="35">
        <f>0.2/100</f>
        <v>2E-3</v>
      </c>
      <c r="C19" s="35"/>
      <c r="D19" s="35" t="s">
        <v>172</v>
      </c>
      <c r="E19" s="35"/>
      <c r="F19" s="35"/>
    </row>
    <row r="20" spans="1:6">
      <c r="A20" s="35" t="s">
        <v>365</v>
      </c>
      <c r="B20" s="35">
        <v>0.246</v>
      </c>
      <c r="C20" s="35"/>
      <c r="D20" s="35"/>
      <c r="E20" s="35"/>
      <c r="F20" s="35"/>
    </row>
    <row r="21" spans="1:6">
      <c r="A21" s="35" t="s">
        <v>39</v>
      </c>
      <c r="B21" s="35">
        <v>142</v>
      </c>
      <c r="C21" s="35" t="s">
        <v>40</v>
      </c>
      <c r="D21" s="35"/>
      <c r="E21" s="35"/>
      <c r="F21" s="35"/>
    </row>
    <row r="22" spans="1:6">
      <c r="A22" s="35" t="s">
        <v>41</v>
      </c>
      <c r="B22" s="35">
        <f>39*2+16</f>
        <v>94</v>
      </c>
      <c r="C22" s="35" t="s">
        <v>40</v>
      </c>
      <c r="D22" s="35"/>
      <c r="E22" s="35"/>
      <c r="F22" s="35"/>
    </row>
    <row r="24" spans="1:6" ht="15">
      <c r="A24" s="34" t="s">
        <v>178</v>
      </c>
      <c r="B24" s="28"/>
      <c r="C24" s="28"/>
      <c r="D24" s="28"/>
      <c r="E24" s="28"/>
      <c r="F24" s="28"/>
    </row>
    <row r="25" spans="1:6" ht="15">
      <c r="A25" s="27" t="s">
        <v>44</v>
      </c>
      <c r="B25" s="28"/>
      <c r="C25" s="28"/>
      <c r="D25" s="28"/>
      <c r="E25" s="28"/>
      <c r="F25" s="28"/>
    </row>
    <row r="26" spans="1:6">
      <c r="A26" s="28" t="s">
        <v>45</v>
      </c>
      <c r="B26" s="28">
        <v>1</v>
      </c>
      <c r="C26" s="28" t="s">
        <v>46</v>
      </c>
      <c r="D26" s="28"/>
      <c r="E26" s="28"/>
      <c r="F26" s="28"/>
    </row>
    <row r="27" spans="1:6">
      <c r="A27" s="28" t="s">
        <v>47</v>
      </c>
      <c r="B27" s="28">
        <v>0.15650723831737146</v>
      </c>
      <c r="C27" s="28" t="s">
        <v>46</v>
      </c>
      <c r="D27" s="28"/>
      <c r="E27" s="28"/>
      <c r="F27" s="28"/>
    </row>
    <row r="28" spans="1:6">
      <c r="A28" s="28" t="s">
        <v>48</v>
      </c>
      <c r="B28" s="28">
        <v>1</v>
      </c>
      <c r="C28" s="28" t="s">
        <v>46</v>
      </c>
      <c r="D28" s="28"/>
      <c r="E28" s="28"/>
      <c r="F28" s="28"/>
    </row>
    <row r="29" spans="1:6">
      <c r="A29" s="28" t="s">
        <v>49</v>
      </c>
      <c r="B29" s="28">
        <v>6.2279044296606232</v>
      </c>
      <c r="C29" s="28" t="s">
        <v>46</v>
      </c>
      <c r="D29" s="28"/>
      <c r="E29" s="28"/>
      <c r="F29" s="28"/>
    </row>
    <row r="30" spans="1:6">
      <c r="A30" s="28" t="s">
        <v>51</v>
      </c>
      <c r="B30" s="28">
        <v>-6.2279044296606232</v>
      </c>
      <c r="C30" s="28" t="s">
        <v>50</v>
      </c>
      <c r="D30" s="28"/>
      <c r="E30" s="28"/>
      <c r="F30" s="28" t="s">
        <v>52</v>
      </c>
    </row>
    <row r="31" spans="1:6">
      <c r="A31" s="28" t="s">
        <v>53</v>
      </c>
      <c r="B31" s="28">
        <v>1</v>
      </c>
      <c r="C31" s="28" t="s">
        <v>46</v>
      </c>
      <c r="D31" s="28"/>
      <c r="E31" s="28"/>
      <c r="F31" s="28"/>
    </row>
    <row r="32" spans="1:6">
      <c r="A32" s="28" t="s">
        <v>54</v>
      </c>
      <c r="B32" s="29">
        <v>1</v>
      </c>
      <c r="C32" s="28" t="s">
        <v>46</v>
      </c>
      <c r="D32" s="28"/>
      <c r="E32" s="28"/>
      <c r="F32" s="28"/>
    </row>
    <row r="33" spans="1:6">
      <c r="A33" s="28" t="s">
        <v>179</v>
      </c>
      <c r="B33" s="28">
        <v>1</v>
      </c>
      <c r="C33" s="28" t="s">
        <v>46</v>
      </c>
      <c r="D33" s="28"/>
      <c r="E33" s="28"/>
      <c r="F33" s="28"/>
    </row>
    <row r="34" spans="1:6">
      <c r="A34" s="28" t="s">
        <v>180</v>
      </c>
      <c r="B34" s="28">
        <v>1</v>
      </c>
      <c r="C34" s="28" t="s">
        <v>46</v>
      </c>
      <c r="D34" s="28"/>
      <c r="E34" s="28"/>
      <c r="F34" s="28"/>
    </row>
    <row r="35" spans="1:6">
      <c r="A35" s="28" t="s">
        <v>184</v>
      </c>
      <c r="B35" s="28">
        <v>1</v>
      </c>
      <c r="C35" s="28" t="s">
        <v>46</v>
      </c>
      <c r="D35" s="28"/>
      <c r="E35" s="28"/>
      <c r="F35" s="28"/>
    </row>
    <row r="36" spans="1:6">
      <c r="A36" s="28" t="s">
        <v>185</v>
      </c>
      <c r="B36" s="29">
        <f>(B100/1000)/B14</f>
        <v>1.5539923608666069E-3</v>
      </c>
      <c r="C36" s="28" t="s">
        <v>46</v>
      </c>
      <c r="D36" s="28"/>
      <c r="E36" s="28"/>
      <c r="F36" s="28"/>
    </row>
    <row r="37" spans="1:6">
      <c r="A37" s="28" t="s">
        <v>186</v>
      </c>
      <c r="B37" s="29">
        <f>B36/B15</f>
        <v>6.1838136126804895E-2</v>
      </c>
      <c r="C37" s="28" t="s">
        <v>46</v>
      </c>
      <c r="D37" s="28"/>
      <c r="E37" s="28"/>
      <c r="F37" s="28"/>
    </row>
    <row r="38" spans="1:6">
      <c r="A38" s="28" t="s">
        <v>187</v>
      </c>
      <c r="B38" s="29">
        <f>-B37</f>
        <v>-6.1838136126804895E-2</v>
      </c>
      <c r="C38" s="28" t="s">
        <v>50</v>
      </c>
      <c r="D38" s="28"/>
      <c r="E38" s="28"/>
      <c r="F38" s="28" t="s">
        <v>52</v>
      </c>
    </row>
    <row r="39" spans="1:6">
      <c r="A39" s="28" t="s">
        <v>55</v>
      </c>
      <c r="B39" s="54">
        <v>-2.2793296089385481E-3</v>
      </c>
      <c r="C39" s="28" t="s">
        <v>14</v>
      </c>
      <c r="D39" s="28"/>
      <c r="E39" s="28"/>
      <c r="F39" s="28" t="s">
        <v>56</v>
      </c>
    </row>
    <row r="40" spans="1:6">
      <c r="A40" s="28" t="s">
        <v>57</v>
      </c>
      <c r="B40" s="54">
        <v>-2.4883907010272131E-4</v>
      </c>
      <c r="C40" s="28" t="s">
        <v>14</v>
      </c>
      <c r="D40" s="28"/>
      <c r="E40" s="28"/>
      <c r="F40" s="28" t="s">
        <v>58</v>
      </c>
    </row>
    <row r="41" spans="1:6">
      <c r="A41" s="28" t="s">
        <v>59</v>
      </c>
      <c r="B41" s="54">
        <v>-9.5225325884543794E-5</v>
      </c>
      <c r="C41" s="28" t="s">
        <v>14</v>
      </c>
      <c r="D41" s="28"/>
      <c r="E41" s="28"/>
      <c r="F41" s="28" t="s">
        <v>60</v>
      </c>
    </row>
    <row r="42" spans="1:6">
      <c r="A42" s="28" t="s">
        <v>370</v>
      </c>
      <c r="B42" s="29">
        <f>-B89*0.9*B17</f>
        <v>-3.803800000000001E-4</v>
      </c>
      <c r="C42" s="28" t="s">
        <v>14</v>
      </c>
      <c r="D42" s="28"/>
      <c r="E42" s="28"/>
      <c r="F42" s="28" t="s">
        <v>56</v>
      </c>
    </row>
    <row r="43" spans="1:6">
      <c r="A43" s="28" t="s">
        <v>371</v>
      </c>
      <c r="B43" s="29">
        <f>-B89*0.9*B20*B18*(B21/62)</f>
        <v>-1.7145076335483875E-3</v>
      </c>
      <c r="C43" s="28" t="s">
        <v>14</v>
      </c>
      <c r="D43" s="28"/>
      <c r="E43" s="28"/>
      <c r="F43" s="28" t="s">
        <v>58</v>
      </c>
    </row>
    <row r="44" spans="1:6">
      <c r="A44" s="28" t="s">
        <v>372</v>
      </c>
      <c r="B44" s="29">
        <f>-B89*0.9*B20*B19*(B22/78)</f>
        <v>-2.0503280000000003E-5</v>
      </c>
      <c r="C44" s="28" t="s">
        <v>14</v>
      </c>
      <c r="D44" s="28"/>
      <c r="E44" s="28"/>
      <c r="F44" s="28" t="s">
        <v>60</v>
      </c>
    </row>
    <row r="45" spans="1:6">
      <c r="A45" s="28"/>
      <c r="B45" s="28"/>
      <c r="C45" s="28"/>
      <c r="D45" s="28"/>
      <c r="E45" s="28"/>
      <c r="F45" s="28"/>
    </row>
    <row r="46" spans="1:6" ht="15">
      <c r="A46" s="27" t="s">
        <v>61</v>
      </c>
      <c r="B46" s="28"/>
      <c r="C46" s="28"/>
      <c r="D46" s="28"/>
      <c r="E46" s="28"/>
      <c r="F46" s="28"/>
    </row>
    <row r="47" spans="1:6">
      <c r="A47" s="28" t="s">
        <v>62</v>
      </c>
      <c r="B47" s="28">
        <v>1</v>
      </c>
      <c r="C47" s="28" t="s">
        <v>14</v>
      </c>
      <c r="D47" s="28"/>
      <c r="E47" s="28"/>
      <c r="F47" s="28"/>
    </row>
    <row r="49" spans="1:6" ht="15">
      <c r="A49" s="1" t="s">
        <v>317</v>
      </c>
    </row>
    <row r="50" spans="1:6" ht="15">
      <c r="A50" s="31" t="s">
        <v>333</v>
      </c>
      <c r="B50" s="19"/>
      <c r="C50" s="19"/>
      <c r="D50" s="19"/>
      <c r="E50" s="19"/>
      <c r="F50" s="19"/>
    </row>
    <row r="51" spans="1:6" ht="15">
      <c r="A51" s="18" t="s">
        <v>44</v>
      </c>
      <c r="B51" s="19"/>
      <c r="C51" s="19"/>
      <c r="D51" s="19"/>
      <c r="E51" s="19"/>
      <c r="F51" s="19"/>
    </row>
    <row r="52" spans="1:6">
      <c r="A52" s="19" t="s">
        <v>64</v>
      </c>
      <c r="B52" s="19">
        <f>20/1500</f>
        <v>1.3333333333333334E-2</v>
      </c>
      <c r="C52" s="19" t="s">
        <v>65</v>
      </c>
      <c r="D52" s="19"/>
      <c r="E52" s="19" t="s">
        <v>75</v>
      </c>
      <c r="F52" s="19" t="s">
        <v>68</v>
      </c>
    </row>
    <row r="53" spans="1:6">
      <c r="A53" s="19" t="s">
        <v>69</v>
      </c>
      <c r="B53" s="19">
        <f>2000/(20*3000*1500)</f>
        <v>2.2222222222222223E-5</v>
      </c>
      <c r="C53" s="19" t="s">
        <v>70</v>
      </c>
      <c r="D53" s="19"/>
      <c r="E53" s="19"/>
      <c r="F53" s="19" t="s">
        <v>72</v>
      </c>
    </row>
    <row r="54" spans="1:6">
      <c r="A54" s="19"/>
      <c r="B54" s="19"/>
      <c r="C54" s="19"/>
      <c r="D54" s="19"/>
      <c r="E54" s="19"/>
      <c r="F54" s="19"/>
    </row>
    <row r="55" spans="1:6" ht="15">
      <c r="A55" s="18" t="s">
        <v>76</v>
      </c>
      <c r="B55" s="19"/>
      <c r="C55" s="19"/>
      <c r="D55" s="19"/>
      <c r="E55" s="19"/>
      <c r="F55" s="19"/>
    </row>
    <row r="56" spans="1:6">
      <c r="A56" s="19" t="s">
        <v>53</v>
      </c>
      <c r="B56" s="19">
        <v>1</v>
      </c>
      <c r="C56" s="19" t="s">
        <v>73</v>
      </c>
      <c r="D56" s="19"/>
      <c r="E56" s="19"/>
      <c r="F56" s="19"/>
    </row>
    <row r="57" spans="1:6">
      <c r="A57" s="43" t="s">
        <v>334</v>
      </c>
      <c r="B57" s="43">
        <v>0.1</v>
      </c>
      <c r="C57" s="43" t="s">
        <v>14</v>
      </c>
      <c r="D57" s="19"/>
      <c r="E57" s="19"/>
      <c r="F57" s="19" t="s">
        <v>78</v>
      </c>
    </row>
    <row r="59" spans="1:6" ht="15">
      <c r="A59" s="18" t="s">
        <v>189</v>
      </c>
      <c r="B59" s="19"/>
      <c r="C59" s="19"/>
      <c r="D59" s="19"/>
      <c r="E59" s="19"/>
      <c r="F59" s="19"/>
    </row>
    <row r="60" spans="1:6" ht="15">
      <c r="A60" s="18" t="s">
        <v>44</v>
      </c>
      <c r="B60" s="19"/>
      <c r="C60" s="19"/>
      <c r="D60" s="19"/>
      <c r="E60" s="19"/>
      <c r="F60" s="19"/>
    </row>
    <row r="61" spans="1:6">
      <c r="A61" s="19" t="s">
        <v>85</v>
      </c>
      <c r="B61" s="19">
        <v>4.8703624122618545E-3</v>
      </c>
      <c r="C61" s="19" t="s">
        <v>65</v>
      </c>
      <c r="D61" s="19" t="s">
        <v>97</v>
      </c>
      <c r="E61" s="19" t="s">
        <v>98</v>
      </c>
      <c r="F61" s="19" t="s">
        <v>68</v>
      </c>
    </row>
    <row r="62" spans="1:6">
      <c r="A62" s="19" t="s">
        <v>99</v>
      </c>
      <c r="B62" s="20">
        <v>6.4102564102564103E-5</v>
      </c>
      <c r="C62" s="19" t="s">
        <v>14</v>
      </c>
      <c r="D62" s="19" t="s">
        <v>100</v>
      </c>
      <c r="E62" s="19" t="s">
        <v>101</v>
      </c>
      <c r="F62" s="19" t="s">
        <v>72</v>
      </c>
    </row>
    <row r="63" spans="1:6">
      <c r="A63" s="19"/>
      <c r="B63" s="19"/>
      <c r="C63" s="19"/>
      <c r="D63" s="19"/>
      <c r="E63" s="19"/>
      <c r="F63" s="19"/>
    </row>
    <row r="64" spans="1:6" ht="15">
      <c r="A64" s="18" t="s">
        <v>76</v>
      </c>
      <c r="B64" s="19"/>
      <c r="C64" s="19"/>
      <c r="D64" s="19"/>
      <c r="E64" s="19"/>
      <c r="F64" s="19"/>
    </row>
    <row r="65" spans="1:6">
      <c r="A65" s="19" t="s">
        <v>189</v>
      </c>
      <c r="B65" s="19">
        <v>1</v>
      </c>
      <c r="C65" s="19" t="s">
        <v>46</v>
      </c>
      <c r="D65" s="19"/>
      <c r="E65" s="19"/>
      <c r="F65" s="19"/>
    </row>
    <row r="66" spans="1:6">
      <c r="A66" s="19" t="s">
        <v>190</v>
      </c>
      <c r="B66" s="20">
        <f>0.253258845437616/1000</f>
        <v>2.5325884543761599E-4</v>
      </c>
      <c r="C66" s="19" t="s">
        <v>23</v>
      </c>
      <c r="D66" s="19"/>
      <c r="E66" s="19"/>
      <c r="F66" s="19" t="s">
        <v>104</v>
      </c>
    </row>
    <row r="67" spans="1:6">
      <c r="A67" s="19" t="s">
        <v>105</v>
      </c>
      <c r="B67" s="20">
        <v>0.2532588454376164</v>
      </c>
      <c r="C67" s="19" t="s">
        <v>14</v>
      </c>
      <c r="D67" s="19"/>
      <c r="E67" s="19"/>
      <c r="F67" s="19" t="s">
        <v>348</v>
      </c>
    </row>
    <row r="69" spans="1:6" ht="15">
      <c r="A69" s="15" t="s">
        <v>335</v>
      </c>
      <c r="B69" s="16"/>
      <c r="C69" s="16"/>
      <c r="D69" s="16"/>
      <c r="E69" s="16"/>
      <c r="F69" s="16"/>
    </row>
    <row r="70" spans="1:6" ht="15">
      <c r="A70" s="15" t="s">
        <v>44</v>
      </c>
      <c r="B70" s="16"/>
      <c r="C70" s="16"/>
      <c r="D70" s="16"/>
      <c r="E70" s="16"/>
      <c r="F70" s="16"/>
    </row>
    <row r="71" spans="1:6">
      <c r="A71" s="16" t="s">
        <v>64</v>
      </c>
      <c r="B71" s="17">
        <f>0.3*(B4+B73)</f>
        <v>7.9799999999999996E-2</v>
      </c>
      <c r="C71" s="16" t="s">
        <v>65</v>
      </c>
      <c r="D71" s="16"/>
      <c r="E71" s="16" t="s">
        <v>321</v>
      </c>
      <c r="F71" s="16" t="s">
        <v>68</v>
      </c>
    </row>
    <row r="72" spans="1:6">
      <c r="A72" s="16" t="s">
        <v>99</v>
      </c>
      <c r="B72" s="17">
        <v>2.2222222222222223E-5</v>
      </c>
      <c r="C72" s="16" t="s">
        <v>70</v>
      </c>
      <c r="D72" s="16"/>
      <c r="E72" s="16" t="s">
        <v>198</v>
      </c>
      <c r="F72" s="16" t="s">
        <v>72</v>
      </c>
    </row>
    <row r="73" spans="1:6">
      <c r="A73" s="16" t="s">
        <v>349</v>
      </c>
      <c r="B73" s="17">
        <f>(B4*(1-B5)-B4*0.2)/0.2</f>
        <v>0.16599999999999998</v>
      </c>
      <c r="C73" s="16" t="s">
        <v>360</v>
      </c>
      <c r="D73" s="16"/>
      <c r="E73" s="16"/>
      <c r="F73" s="16" t="s">
        <v>201</v>
      </c>
    </row>
    <row r="74" spans="1:6">
      <c r="A74" s="16"/>
      <c r="B74" s="16"/>
      <c r="C74" s="16"/>
      <c r="D74" s="16"/>
      <c r="E74" s="16"/>
      <c r="F74" s="16"/>
    </row>
    <row r="75" spans="1:6" ht="15">
      <c r="A75" s="15" t="s">
        <v>61</v>
      </c>
      <c r="B75" s="16"/>
      <c r="C75" s="16"/>
      <c r="D75" s="16"/>
      <c r="E75" s="16"/>
      <c r="F75" s="16"/>
    </row>
    <row r="76" spans="1:6">
      <c r="A76" s="16" t="s">
        <v>361</v>
      </c>
      <c r="B76" s="16">
        <v>1</v>
      </c>
      <c r="C76" s="16" t="s">
        <v>46</v>
      </c>
      <c r="D76" s="16"/>
      <c r="E76" s="16"/>
      <c r="F76" s="16"/>
    </row>
    <row r="77" spans="1:6">
      <c r="A77" s="16" t="s">
        <v>203</v>
      </c>
      <c r="B77" s="17">
        <f>B4*(1-B5)*B7/(1-B10)</f>
        <v>0.16158878504672902</v>
      </c>
      <c r="C77" s="16" t="s">
        <v>14</v>
      </c>
      <c r="D77" s="16"/>
      <c r="E77" s="16"/>
      <c r="F77" s="16"/>
    </row>
    <row r="78" spans="1:6">
      <c r="A78" s="16" t="s">
        <v>204</v>
      </c>
      <c r="B78" s="17">
        <f>(B4+B73)-(B77+B79+B80)</f>
        <v>0.10345361495327099</v>
      </c>
      <c r="C78" s="16" t="s">
        <v>14</v>
      </c>
      <c r="D78" s="16"/>
      <c r="E78" s="16"/>
      <c r="F78" s="16"/>
    </row>
    <row r="79" spans="1:6">
      <c r="A79" s="16" t="s">
        <v>92</v>
      </c>
      <c r="B79" s="17">
        <f>B4*(1-B5)*B9*0.95</f>
        <v>9.0971999999999993E-4</v>
      </c>
      <c r="C79" s="16" t="s">
        <v>14</v>
      </c>
      <c r="D79" s="16"/>
      <c r="E79" s="16" t="s">
        <v>205</v>
      </c>
      <c r="F79" s="16"/>
    </row>
    <row r="80" spans="1:6">
      <c r="A80" s="16" t="s">
        <v>133</v>
      </c>
      <c r="B80" s="17">
        <f>B4*(1-B5)*B9*0.05</f>
        <v>4.7880000000000002E-5</v>
      </c>
      <c r="C80" s="16" t="s">
        <v>14</v>
      </c>
      <c r="D80" s="16"/>
      <c r="E80" s="16"/>
      <c r="F80" s="16"/>
    </row>
    <row r="82" spans="1:6" ht="15">
      <c r="A82" s="12" t="s">
        <v>206</v>
      </c>
      <c r="B82" s="11"/>
      <c r="C82" s="11"/>
      <c r="D82" s="11"/>
      <c r="E82" s="11"/>
      <c r="F82" s="11"/>
    </row>
    <row r="83" spans="1:6" ht="15">
      <c r="A83" s="12" t="s">
        <v>44</v>
      </c>
      <c r="B83" s="11"/>
      <c r="C83" s="11"/>
      <c r="D83" s="11"/>
      <c r="E83" s="11"/>
      <c r="F83" s="11"/>
    </row>
    <row r="84" spans="1:6">
      <c r="A84" s="11" t="s">
        <v>64</v>
      </c>
      <c r="B84" s="14">
        <f>(B77 - (B77 * (1 - B10) / (1 - 0.1))) * (2260 / (0.7 * 3600))</f>
        <v>0.11045890158070849</v>
      </c>
      <c r="C84" s="11" t="s">
        <v>65</v>
      </c>
      <c r="D84" s="11"/>
      <c r="E84" s="11" t="s">
        <v>207</v>
      </c>
      <c r="F84" s="11" t="s">
        <v>68</v>
      </c>
    </row>
    <row r="85" spans="1:6">
      <c r="A85" s="11" t="s">
        <v>208</v>
      </c>
      <c r="B85" s="14">
        <v>2.1367521367521368E-5</v>
      </c>
      <c r="C85" s="11" t="s">
        <v>14</v>
      </c>
      <c r="D85" s="11"/>
      <c r="E85" s="11" t="s">
        <v>209</v>
      </c>
      <c r="F85" s="11" t="s">
        <v>72</v>
      </c>
    </row>
    <row r="86" spans="1:6">
      <c r="A86" s="11"/>
      <c r="B86" s="11"/>
      <c r="C86" s="11"/>
      <c r="D86" s="11"/>
      <c r="E86" s="11"/>
      <c r="F86" s="11"/>
    </row>
    <row r="87" spans="1:6" ht="15">
      <c r="A87" s="12" t="s">
        <v>61</v>
      </c>
      <c r="B87" s="11"/>
      <c r="C87" s="11"/>
      <c r="D87" s="11"/>
      <c r="E87" s="11"/>
      <c r="F87" s="11"/>
    </row>
    <row r="88" spans="1:6">
      <c r="A88" s="11" t="s">
        <v>180</v>
      </c>
      <c r="B88" s="11">
        <v>1</v>
      </c>
      <c r="C88" s="11" t="s">
        <v>46</v>
      </c>
      <c r="D88" s="11"/>
      <c r="E88" s="11"/>
      <c r="F88" s="11"/>
    </row>
    <row r="89" spans="1:6">
      <c r="A89" s="11" t="s">
        <v>210</v>
      </c>
      <c r="B89" s="14">
        <f>(B77*(1-B10))/0.9</f>
        <v>3.8422222222222226E-2</v>
      </c>
      <c r="C89" s="11" t="s">
        <v>14</v>
      </c>
      <c r="D89" s="11"/>
      <c r="E89" s="11"/>
      <c r="F89" s="11"/>
    </row>
    <row r="90" spans="1:6">
      <c r="A90" s="11" t="s">
        <v>212</v>
      </c>
      <c r="B90" s="14">
        <f>(B77-B89)/1000</f>
        <v>1.231665628245068E-4</v>
      </c>
      <c r="C90" s="11" t="s">
        <v>23</v>
      </c>
      <c r="D90" s="11"/>
      <c r="E90" s="11" t="s">
        <v>322</v>
      </c>
      <c r="F90" s="11" t="s">
        <v>104</v>
      </c>
    </row>
    <row r="92" spans="1:6" ht="15">
      <c r="A92" s="27" t="s">
        <v>184</v>
      </c>
      <c r="B92" s="39" t="s">
        <v>80</v>
      </c>
      <c r="C92" s="29">
        <v>1</v>
      </c>
      <c r="D92" s="28"/>
      <c r="E92" s="28" t="s">
        <v>286</v>
      </c>
      <c r="F92" s="28"/>
    </row>
    <row r="93" spans="1:6" ht="15">
      <c r="A93" s="27" t="s">
        <v>44</v>
      </c>
      <c r="B93" s="28"/>
      <c r="C93" s="28"/>
      <c r="D93" s="28"/>
      <c r="E93" s="28"/>
      <c r="F93" s="28"/>
    </row>
    <row r="94" spans="1:6">
      <c r="A94" s="28" t="s">
        <v>287</v>
      </c>
      <c r="B94" s="28">
        <v>0</v>
      </c>
      <c r="C94" s="28" t="s">
        <v>73</v>
      </c>
      <c r="D94" s="28"/>
      <c r="E94" s="28"/>
      <c r="F94" s="28" t="s">
        <v>84</v>
      </c>
    </row>
    <row r="95" spans="1:6">
      <c r="A95" s="28" t="s">
        <v>85</v>
      </c>
      <c r="B95" s="28">
        <v>0</v>
      </c>
      <c r="C95" s="28" t="s">
        <v>65</v>
      </c>
      <c r="D95" s="28"/>
      <c r="E95" s="28"/>
      <c r="F95" s="28" t="s">
        <v>68</v>
      </c>
    </row>
    <row r="96" spans="1:6">
      <c r="A96" s="28" t="s">
        <v>288</v>
      </c>
      <c r="B96" s="28">
        <v>0</v>
      </c>
      <c r="C96" s="28" t="s">
        <v>50</v>
      </c>
      <c r="D96" s="28"/>
      <c r="E96" s="28"/>
      <c r="F96" s="28" t="s">
        <v>88</v>
      </c>
    </row>
    <row r="97" spans="1:6">
      <c r="A97" s="28"/>
      <c r="B97" s="28"/>
      <c r="C97" s="28"/>
      <c r="D97" s="28"/>
      <c r="E97" s="28"/>
      <c r="F97" s="28"/>
    </row>
    <row r="98" spans="1:6" ht="15">
      <c r="A98" s="27" t="s">
        <v>76</v>
      </c>
      <c r="B98" s="28"/>
      <c r="C98" s="28"/>
      <c r="D98" s="28"/>
      <c r="E98" s="28"/>
      <c r="F98" s="28"/>
    </row>
    <row r="99" spans="1:6">
      <c r="A99" s="28" t="s">
        <v>45</v>
      </c>
      <c r="B99" s="28">
        <v>1</v>
      </c>
      <c r="C99" s="28" t="s">
        <v>73</v>
      </c>
      <c r="D99" s="28"/>
      <c r="E99" s="28"/>
      <c r="F99" s="28"/>
    </row>
    <row r="100" spans="1:6">
      <c r="A100" s="28" t="s">
        <v>289</v>
      </c>
      <c r="B100" s="29">
        <f>B13*B12*B78/0.6</f>
        <v>2.3866059278953262</v>
      </c>
      <c r="C100" s="28" t="s">
        <v>290</v>
      </c>
      <c r="D100" s="28"/>
      <c r="E100" s="28"/>
      <c r="F100" s="28"/>
    </row>
    <row r="101" spans="1:6">
      <c r="A101" s="28" t="s">
        <v>291</v>
      </c>
      <c r="B101" s="37">
        <f>B78-B114</f>
        <v>0.10055731314859462</v>
      </c>
      <c r="C101" s="28" t="s">
        <v>14</v>
      </c>
      <c r="D101" s="28"/>
      <c r="E101" s="28"/>
      <c r="F101" s="28" t="s">
        <v>104</v>
      </c>
    </row>
    <row r="102" spans="1:6">
      <c r="A102" s="28" t="s">
        <v>91</v>
      </c>
      <c r="B102" s="28">
        <v>0</v>
      </c>
      <c r="C102" s="29" t="s">
        <v>14</v>
      </c>
      <c r="D102" s="28"/>
      <c r="E102" s="28"/>
      <c r="F102" s="28"/>
    </row>
    <row r="103" spans="1:6">
      <c r="A103" s="28" t="s">
        <v>92</v>
      </c>
      <c r="B103" s="28">
        <v>0</v>
      </c>
      <c r="C103" s="29" t="s">
        <v>14</v>
      </c>
      <c r="D103" s="28"/>
      <c r="E103" s="28"/>
      <c r="F103" s="28"/>
    </row>
    <row r="104" spans="1:6">
      <c r="A104" s="28" t="s">
        <v>93</v>
      </c>
      <c r="B104" s="28">
        <v>0</v>
      </c>
      <c r="C104" s="29" t="s">
        <v>14</v>
      </c>
      <c r="D104" s="28"/>
      <c r="E104" s="28"/>
      <c r="F104" s="28"/>
    </row>
    <row r="105" spans="1:6">
      <c r="A105" s="28" t="s">
        <v>94</v>
      </c>
      <c r="B105" s="28">
        <v>0</v>
      </c>
      <c r="C105" s="29" t="s">
        <v>14</v>
      </c>
      <c r="D105" s="28"/>
      <c r="E105" s="28"/>
      <c r="F105" s="28"/>
    </row>
    <row r="106" spans="1:6">
      <c r="A106" s="28" t="s">
        <v>95</v>
      </c>
      <c r="B106" s="28">
        <v>0</v>
      </c>
      <c r="C106" s="29" t="s">
        <v>14</v>
      </c>
      <c r="D106" s="28"/>
      <c r="E106" s="28"/>
      <c r="F106" s="28"/>
    </row>
    <row r="108" spans="1:6" ht="15">
      <c r="A108" s="4" t="s">
        <v>293</v>
      </c>
      <c r="B108" s="2"/>
      <c r="C108" s="2"/>
      <c r="D108" s="2"/>
      <c r="E108" s="2"/>
      <c r="F108" s="2"/>
    </row>
    <row r="109" spans="1:6">
      <c r="A109" s="5" t="s">
        <v>337</v>
      </c>
      <c r="B109" s="5">
        <f>B13*B12*B78/0.6</f>
        <v>2.3866059278953262</v>
      </c>
      <c r="C109" s="5" t="s">
        <v>295</v>
      </c>
      <c r="D109" s="2"/>
      <c r="E109" s="2"/>
      <c r="F109" s="2"/>
    </row>
    <row r="110" spans="1:6">
      <c r="A110" s="2" t="s">
        <v>296</v>
      </c>
      <c r="B110" s="2"/>
      <c r="C110" s="5"/>
      <c r="D110" s="2"/>
      <c r="E110" s="5"/>
      <c r="F110" s="2"/>
    </row>
    <row r="111" spans="1:6">
      <c r="A111" s="2" t="s">
        <v>297</v>
      </c>
      <c r="B111" s="5">
        <f>B78</f>
        <v>0.10345361495327099</v>
      </c>
      <c r="C111" s="5" t="s">
        <v>14</v>
      </c>
      <c r="D111" s="5"/>
      <c r="E111" s="5"/>
      <c r="F111" s="2"/>
    </row>
    <row r="112" spans="1:6">
      <c r="A112" s="2" t="s">
        <v>298</v>
      </c>
      <c r="B112" s="5">
        <f>(1*B100)/(0.0821*273)</f>
        <v>0.10648168399545475</v>
      </c>
      <c r="C112" s="2"/>
      <c r="D112" s="5"/>
      <c r="E112" s="5"/>
      <c r="F112" s="2"/>
    </row>
    <row r="113" spans="1:6">
      <c r="A113" s="2" t="s">
        <v>299</v>
      </c>
      <c r="B113" s="2">
        <f>16*0.6+44*0.4</f>
        <v>27.200000000000003</v>
      </c>
      <c r="C113" s="2" t="s">
        <v>40</v>
      </c>
      <c r="D113" s="2"/>
      <c r="E113" s="2"/>
      <c r="F113" s="2"/>
    </row>
    <row r="114" spans="1:6">
      <c r="A114" s="2" t="s">
        <v>300</v>
      </c>
      <c r="B114" s="5">
        <f>B113*B112/1000</f>
        <v>2.8963018046763698E-3</v>
      </c>
      <c r="C114" s="2" t="s">
        <v>14</v>
      </c>
      <c r="D114" s="2"/>
      <c r="E114" s="2"/>
      <c r="F114" s="2"/>
    </row>
    <row r="115" spans="1:6" ht="20.25">
      <c r="A115" s="2" t="s">
        <v>301</v>
      </c>
      <c r="B115" s="5">
        <f>B111-B114</f>
        <v>0.10055731314859462</v>
      </c>
      <c r="C115" s="2" t="s">
        <v>14</v>
      </c>
      <c r="D115" s="2"/>
      <c r="E115" s="40"/>
      <c r="F115" s="2"/>
    </row>
    <row r="116" spans="1:6">
      <c r="A116" s="2" t="s">
        <v>302</v>
      </c>
      <c r="B116" s="5">
        <f>(B78)/(B114/B6)</f>
        <v>43.613156492873998</v>
      </c>
      <c r="C116" s="2" t="s">
        <v>14</v>
      </c>
      <c r="D116" s="2"/>
      <c r="E116" s="2"/>
      <c r="F116" s="2"/>
    </row>
    <row r="118" spans="1:6" ht="15">
      <c r="A118" s="33" t="s">
        <v>303</v>
      </c>
      <c r="B118" s="24"/>
      <c r="C118" s="25"/>
      <c r="D118" s="24" t="s">
        <v>108</v>
      </c>
      <c r="E118" s="25"/>
      <c r="F118" s="25"/>
    </row>
    <row r="119" spans="1:6" ht="15">
      <c r="A119" s="24" t="s">
        <v>44</v>
      </c>
      <c r="B119" s="25"/>
      <c r="C119" s="25"/>
      <c r="D119" s="25"/>
      <c r="E119" s="25"/>
      <c r="F119" s="25"/>
    </row>
    <row r="120" spans="1:6">
      <c r="A120" s="25" t="s">
        <v>109</v>
      </c>
      <c r="B120" s="26">
        <v>2.0799999999999999E-4</v>
      </c>
      <c r="C120" s="25" t="s">
        <v>14</v>
      </c>
      <c r="D120" s="25"/>
      <c r="E120" s="25"/>
      <c r="F120" s="25" t="s">
        <v>110</v>
      </c>
    </row>
    <row r="121" spans="1:6">
      <c r="A121" s="25" t="s">
        <v>111</v>
      </c>
      <c r="B121" s="26">
        <v>5.4000000000000001E-11</v>
      </c>
      <c r="C121" s="25" t="s">
        <v>46</v>
      </c>
      <c r="D121" s="25"/>
      <c r="E121" s="25"/>
      <c r="F121" s="25" t="s">
        <v>112</v>
      </c>
    </row>
    <row r="122" spans="1:6">
      <c r="A122" s="25" t="s">
        <v>85</v>
      </c>
      <c r="B122" s="25">
        <v>0.18562874251497</v>
      </c>
      <c r="C122" s="25" t="s">
        <v>86</v>
      </c>
      <c r="D122" s="25"/>
      <c r="E122" s="25"/>
      <c r="F122" s="25" t="s">
        <v>68</v>
      </c>
    </row>
    <row r="123" spans="1:6">
      <c r="A123" s="25" t="s">
        <v>113</v>
      </c>
      <c r="B123" s="26">
        <v>1.4999999999999999E-4</v>
      </c>
      <c r="C123" s="25" t="s">
        <v>14</v>
      </c>
      <c r="D123" s="25"/>
      <c r="E123" s="25"/>
      <c r="F123" s="25" t="s">
        <v>114</v>
      </c>
    </row>
    <row r="124" spans="1:6">
      <c r="A124" s="25" t="s">
        <v>115</v>
      </c>
      <c r="B124" s="26">
        <v>3.98E-6</v>
      </c>
      <c r="C124" s="25" t="s">
        <v>14</v>
      </c>
      <c r="D124" s="25"/>
      <c r="E124" s="25"/>
      <c r="F124" s="25" t="s">
        <v>116</v>
      </c>
    </row>
    <row r="125" spans="1:6">
      <c r="A125" s="25"/>
      <c r="B125" s="26"/>
      <c r="C125" s="25"/>
      <c r="D125" s="25"/>
      <c r="E125" s="25"/>
      <c r="F125" s="25"/>
    </row>
    <row r="126" spans="1:6" ht="15">
      <c r="A126" s="24" t="s">
        <v>61</v>
      </c>
      <c r="B126" s="25"/>
      <c r="C126" s="25"/>
      <c r="D126" s="25"/>
      <c r="E126" s="25"/>
      <c r="F126" s="25"/>
    </row>
    <row r="127" spans="1:6">
      <c r="A127" s="25" t="s">
        <v>47</v>
      </c>
      <c r="B127" s="25">
        <v>1</v>
      </c>
      <c r="C127" s="25" t="s">
        <v>46</v>
      </c>
      <c r="D127" s="25"/>
      <c r="E127" s="25"/>
      <c r="F127" s="25"/>
    </row>
    <row r="128" spans="1:6">
      <c r="A128" s="25" t="s">
        <v>117</v>
      </c>
      <c r="B128" s="25">
        <v>1</v>
      </c>
      <c r="C128" s="25" t="s">
        <v>23</v>
      </c>
      <c r="D128" s="25"/>
      <c r="E128" s="25"/>
      <c r="F128" s="25"/>
    </row>
    <row r="129" spans="1:6">
      <c r="A129" s="25" t="s">
        <v>92</v>
      </c>
      <c r="B129" s="26">
        <v>0.97457000000000005</v>
      </c>
      <c r="C129" s="25" t="s">
        <v>14</v>
      </c>
      <c r="D129" s="25"/>
      <c r="E129" s="25"/>
      <c r="F129" s="25"/>
    </row>
    <row r="130" spans="1:6">
      <c r="A130" s="25" t="s">
        <v>118</v>
      </c>
      <c r="B130" s="26">
        <v>1.28</v>
      </c>
      <c r="C130" s="25" t="s">
        <v>50</v>
      </c>
      <c r="D130" s="25"/>
      <c r="E130" s="25"/>
      <c r="F130" s="25"/>
    </row>
    <row r="131" spans="1:6">
      <c r="A131" s="25" t="s">
        <v>94</v>
      </c>
      <c r="B131" s="26">
        <v>6.7000000000000002E-6</v>
      </c>
      <c r="C131" s="25" t="s">
        <v>14</v>
      </c>
      <c r="D131" s="25"/>
      <c r="E131" s="25"/>
      <c r="F131" s="25"/>
    </row>
    <row r="132" spans="1:6">
      <c r="A132" s="25" t="s">
        <v>95</v>
      </c>
      <c r="B132" s="25">
        <v>8.6E-3</v>
      </c>
      <c r="C132" s="25" t="s">
        <v>14</v>
      </c>
      <c r="D132" s="25"/>
      <c r="E132" s="25"/>
      <c r="F132" s="25"/>
    </row>
    <row r="133" spans="1:6">
      <c r="A133" s="25" t="s">
        <v>119</v>
      </c>
      <c r="B133" s="25">
        <v>4.8779999999999997E-2</v>
      </c>
      <c r="C133" s="25" t="s">
        <v>14</v>
      </c>
      <c r="D133" s="25"/>
      <c r="E133" s="25"/>
      <c r="F133" s="25"/>
    </row>
    <row r="134" spans="1:6">
      <c r="A134" s="25" t="s">
        <v>120</v>
      </c>
      <c r="B134" s="26">
        <v>6.5989999999999998E-6</v>
      </c>
      <c r="C134" s="25" t="s">
        <v>14</v>
      </c>
      <c r="D134" s="25"/>
      <c r="E134" s="25"/>
      <c r="F134" s="25"/>
    </row>
    <row r="136" spans="1:6" ht="15">
      <c r="A136" s="34" t="s">
        <v>186</v>
      </c>
      <c r="B136" s="28"/>
      <c r="C136" s="28"/>
      <c r="D136" s="27" t="s">
        <v>121</v>
      </c>
      <c r="E136" s="28"/>
      <c r="F136" s="28"/>
    </row>
    <row r="137" spans="1:6" ht="15">
      <c r="A137" s="27" t="s">
        <v>44</v>
      </c>
      <c r="B137" s="28"/>
      <c r="C137" s="28"/>
      <c r="D137" s="28"/>
      <c r="E137" s="28"/>
      <c r="F137" s="28"/>
    </row>
    <row r="138" spans="1:6">
      <c r="A138" s="28" t="s">
        <v>85</v>
      </c>
      <c r="B138" s="28">
        <v>2.7244000000000001E-3</v>
      </c>
      <c r="C138" s="28" t="s">
        <v>86</v>
      </c>
      <c r="D138" s="28"/>
      <c r="E138" s="28"/>
      <c r="F138" s="28" t="s">
        <v>68</v>
      </c>
    </row>
    <row r="139" spans="1:6">
      <c r="A139" s="28" t="s">
        <v>122</v>
      </c>
      <c r="B139" s="29">
        <v>6.4679999999999999E-7</v>
      </c>
      <c r="C139" s="28" t="s">
        <v>46</v>
      </c>
      <c r="D139" s="28"/>
      <c r="E139" s="28"/>
      <c r="F139" s="28" t="s">
        <v>123</v>
      </c>
    </row>
    <row r="140" spans="1:6">
      <c r="A140" s="28"/>
      <c r="B140" s="28"/>
      <c r="C140" s="28"/>
      <c r="D140" s="28"/>
      <c r="E140" s="28"/>
      <c r="F140" s="28"/>
    </row>
    <row r="141" spans="1:6" ht="15">
      <c r="A141" s="27" t="s">
        <v>61</v>
      </c>
      <c r="B141" s="28"/>
      <c r="C141" s="28"/>
      <c r="D141" s="28"/>
      <c r="E141" s="28"/>
      <c r="F141" s="28"/>
    </row>
    <row r="142" spans="1:6">
      <c r="A142" s="28" t="s">
        <v>124</v>
      </c>
      <c r="B142" s="28">
        <v>1</v>
      </c>
      <c r="C142" s="28" t="s">
        <v>46</v>
      </c>
      <c r="D142" s="28"/>
      <c r="E142" s="28"/>
      <c r="F142" s="28"/>
    </row>
    <row r="143" spans="1:6">
      <c r="A143" s="28" t="s">
        <v>125</v>
      </c>
      <c r="B143" s="28">
        <v>0</v>
      </c>
      <c r="C143" s="28" t="s">
        <v>50</v>
      </c>
      <c r="D143" s="28"/>
      <c r="E143" s="28" t="s">
        <v>126</v>
      </c>
      <c r="F143" s="28"/>
    </row>
    <row r="144" spans="1:6">
      <c r="A144" s="28" t="s">
        <v>128</v>
      </c>
      <c r="B144" s="29">
        <v>9.7999999999999992E-10</v>
      </c>
      <c r="C144" s="28" t="s">
        <v>14</v>
      </c>
      <c r="D144" s="28"/>
      <c r="E144" s="28"/>
      <c r="F144" s="28"/>
    </row>
    <row r="145" spans="1:6">
      <c r="A145" s="28" t="s">
        <v>129</v>
      </c>
      <c r="B145" s="29">
        <v>1.4700000000000001E-7</v>
      </c>
      <c r="C145" s="28" t="s">
        <v>14</v>
      </c>
      <c r="D145" s="28"/>
      <c r="E145" s="28"/>
      <c r="F145" s="28"/>
    </row>
    <row r="146" spans="1:6">
      <c r="A146" s="28" t="s">
        <v>130</v>
      </c>
      <c r="B146" s="29">
        <v>3.9200000000000002E-7</v>
      </c>
      <c r="C146" s="28" t="s">
        <v>14</v>
      </c>
      <c r="D146" s="28"/>
      <c r="E146" s="28"/>
      <c r="F146" s="28"/>
    </row>
    <row r="147" spans="1:6">
      <c r="A147" s="28" t="s">
        <v>131</v>
      </c>
      <c r="B147" s="29">
        <v>9.7999999999999994E-12</v>
      </c>
      <c r="C147" s="28" t="s">
        <v>14</v>
      </c>
      <c r="D147" s="28"/>
      <c r="E147" s="28"/>
      <c r="F147" s="28"/>
    </row>
    <row r="148" spans="1:6">
      <c r="A148" s="28" t="s">
        <v>132</v>
      </c>
      <c r="B148" s="29">
        <v>6.8599999999999998E-7</v>
      </c>
      <c r="C148" s="28" t="s">
        <v>14</v>
      </c>
      <c r="D148" s="28"/>
      <c r="E148" s="28"/>
      <c r="F148" s="28"/>
    </row>
    <row r="149" spans="1:6">
      <c r="A149" s="28" t="s">
        <v>92</v>
      </c>
      <c r="B149" s="28">
        <v>5.4879999999999998E-2</v>
      </c>
      <c r="C149" s="28" t="s">
        <v>14</v>
      </c>
      <c r="D149" s="28"/>
      <c r="E149" s="28"/>
      <c r="F149" s="28"/>
    </row>
    <row r="150" spans="1:6">
      <c r="A150" s="28" t="s">
        <v>133</v>
      </c>
      <c r="B150" s="29">
        <v>5.7819999999999999E-6</v>
      </c>
      <c r="C150" s="28" t="s">
        <v>14</v>
      </c>
      <c r="D150" s="28"/>
      <c r="E150" s="28"/>
      <c r="F150" s="28"/>
    </row>
    <row r="151" spans="1:6">
      <c r="A151" s="28" t="s">
        <v>93</v>
      </c>
      <c r="B151" s="29">
        <v>4.8999999999999997E-7</v>
      </c>
      <c r="C151" s="28" t="s">
        <v>14</v>
      </c>
      <c r="D151" s="28"/>
      <c r="E151" s="28"/>
      <c r="F151" s="28"/>
    </row>
    <row r="152" spans="1:6">
      <c r="A152" s="28" t="s">
        <v>134</v>
      </c>
      <c r="B152" s="29">
        <v>2.9400000000000001E-17</v>
      </c>
      <c r="C152" s="28" t="s">
        <v>14</v>
      </c>
      <c r="D152" s="28"/>
      <c r="E152" s="28"/>
      <c r="F152" s="28"/>
    </row>
    <row r="153" spans="1:6">
      <c r="A153" s="28" t="s">
        <v>135</v>
      </c>
      <c r="B153" s="29">
        <v>9.8000000000000004E-8</v>
      </c>
      <c r="C153" s="28" t="s">
        <v>14</v>
      </c>
      <c r="D153" s="28"/>
      <c r="E153" s="28"/>
      <c r="F153" s="28"/>
    </row>
    <row r="154" spans="1:6">
      <c r="A154" s="28" t="s">
        <v>136</v>
      </c>
      <c r="B154" s="29">
        <v>2.9400000000000003E-11</v>
      </c>
      <c r="C154" s="28" t="s">
        <v>14</v>
      </c>
      <c r="D154" s="28"/>
      <c r="E154" s="28"/>
      <c r="F154" s="28"/>
    </row>
    <row r="155" spans="1:6">
      <c r="A155" s="28" t="s">
        <v>95</v>
      </c>
      <c r="B155" s="29">
        <v>1.9599999999999999E-6</v>
      </c>
      <c r="C155" s="28" t="s">
        <v>14</v>
      </c>
      <c r="D155" s="28"/>
      <c r="E155" s="28"/>
      <c r="F155" s="28"/>
    </row>
    <row r="156" spans="1:6">
      <c r="A156" s="28" t="s">
        <v>137</v>
      </c>
      <c r="B156" s="29">
        <v>1.2739999999999999E-7</v>
      </c>
      <c r="C156" s="28" t="s">
        <v>14</v>
      </c>
      <c r="D156" s="28"/>
      <c r="E156" s="28"/>
      <c r="F156" s="28"/>
    </row>
    <row r="157" spans="1:6">
      <c r="A157" s="28" t="s">
        <v>138</v>
      </c>
      <c r="B157" s="29">
        <v>2.9400000000000002E-9</v>
      </c>
      <c r="C157" s="28" t="s">
        <v>14</v>
      </c>
      <c r="D157" s="28"/>
      <c r="E157" s="28"/>
      <c r="F157" s="28"/>
    </row>
    <row r="158" spans="1:6">
      <c r="A158" s="28" t="s">
        <v>139</v>
      </c>
      <c r="B158" s="29">
        <v>9.7019999999999996E-6</v>
      </c>
      <c r="C158" s="28" t="s">
        <v>14</v>
      </c>
      <c r="D158" s="28"/>
      <c r="E158" s="28"/>
      <c r="F158" s="28"/>
    </row>
    <row r="159" spans="1:6">
      <c r="A159" s="28" t="s">
        <v>140</v>
      </c>
      <c r="B159" s="29">
        <v>9.8000000000000001E-9</v>
      </c>
      <c r="C159" s="28" t="s">
        <v>14</v>
      </c>
      <c r="D159" s="28"/>
      <c r="E159" s="28"/>
      <c r="F159" s="28"/>
    </row>
    <row r="160" spans="1:6">
      <c r="A160" s="28" t="s">
        <v>141</v>
      </c>
      <c r="B160" s="29">
        <v>9.8000000000000004E-8</v>
      </c>
      <c r="C160" s="28" t="s">
        <v>14</v>
      </c>
      <c r="D160" s="28"/>
      <c r="E160" s="28"/>
      <c r="F160" s="28"/>
    </row>
    <row r="161" spans="1:6">
      <c r="A161" s="28" t="s">
        <v>142</v>
      </c>
      <c r="B161" s="29">
        <v>1.176E-6</v>
      </c>
      <c r="C161" s="28" t="s">
        <v>14</v>
      </c>
      <c r="D161" s="28"/>
      <c r="E161" s="28"/>
      <c r="F161" s="28"/>
    </row>
    <row r="162" spans="1:6">
      <c r="A162" s="28" t="s">
        <v>143</v>
      </c>
      <c r="B162" s="29">
        <v>1.9600000000000001E-7</v>
      </c>
      <c r="C162" s="28" t="s">
        <v>14</v>
      </c>
      <c r="D162" s="28"/>
      <c r="E162" s="28"/>
      <c r="F162" s="28"/>
    </row>
    <row r="163" spans="1:6">
      <c r="A163" s="28" t="s">
        <v>144</v>
      </c>
      <c r="B163" s="29">
        <v>1.96E-8</v>
      </c>
      <c r="C163" s="28" t="s">
        <v>14</v>
      </c>
      <c r="D163" s="28"/>
      <c r="E163" s="28"/>
      <c r="F163" s="28"/>
    </row>
    <row r="164" spans="1:6">
      <c r="A164" s="28" t="s">
        <v>145</v>
      </c>
      <c r="B164" s="29">
        <v>4.9000000000000002E-8</v>
      </c>
      <c r="C164" s="28" t="s">
        <v>14</v>
      </c>
      <c r="D164" s="28"/>
      <c r="E164" s="28"/>
      <c r="F164" s="28"/>
    </row>
    <row r="165" spans="1:6">
      <c r="A165" s="28" t="s">
        <v>146</v>
      </c>
      <c r="B165" s="29">
        <v>4.9000000000000002E-8</v>
      </c>
      <c r="C165" s="28" t="s">
        <v>14</v>
      </c>
      <c r="D165" s="28"/>
      <c r="E165" s="28"/>
      <c r="F165" s="28"/>
    </row>
    <row r="166" spans="1:6">
      <c r="A166" s="28" t="s">
        <v>120</v>
      </c>
      <c r="B166" s="29">
        <v>4.8999999999999997E-7</v>
      </c>
      <c r="C166" s="28" t="s">
        <v>14</v>
      </c>
      <c r="D166" s="28"/>
      <c r="E166" s="28"/>
      <c r="F166" s="28"/>
    </row>
    <row r="167" spans="1:6">
      <c r="A167" s="28" t="s">
        <v>147</v>
      </c>
      <c r="B167" s="29">
        <v>1.9600000000000001E-7</v>
      </c>
      <c r="C167" s="28" t="s">
        <v>14</v>
      </c>
      <c r="D167" s="28"/>
      <c r="E167" s="28"/>
      <c r="F167" s="28"/>
    </row>
    <row r="169" spans="1:6" ht="15">
      <c r="A169" s="30" t="s">
        <v>304</v>
      </c>
      <c r="B169" s="16"/>
      <c r="C169" s="16"/>
      <c r="D169" s="16"/>
      <c r="E169" s="16"/>
      <c r="F169" s="16"/>
    </row>
    <row r="170" spans="1:6" ht="15">
      <c r="A170" s="15" t="s">
        <v>44</v>
      </c>
      <c r="B170" s="16"/>
      <c r="C170" s="16"/>
      <c r="D170" s="16"/>
      <c r="E170" s="16"/>
      <c r="F170" s="16"/>
    </row>
    <row r="171" spans="1:6">
      <c r="A171" s="16" t="s">
        <v>85</v>
      </c>
      <c r="B171" s="16">
        <v>4.6333333333333296E-3</v>
      </c>
      <c r="C171" s="16" t="s">
        <v>86</v>
      </c>
      <c r="D171" s="16"/>
      <c r="E171" s="16"/>
      <c r="F171" s="16" t="s">
        <v>68</v>
      </c>
    </row>
    <row r="172" spans="1:6">
      <c r="A172" s="16" t="s">
        <v>149</v>
      </c>
      <c r="B172" s="17">
        <v>3.1111111111111102E-9</v>
      </c>
      <c r="C172" s="16" t="s">
        <v>46</v>
      </c>
      <c r="D172" s="16"/>
      <c r="E172" s="16"/>
      <c r="F172" s="16" t="s">
        <v>150</v>
      </c>
    </row>
    <row r="173" spans="1:6">
      <c r="A173" s="16" t="s">
        <v>151</v>
      </c>
      <c r="B173" s="16">
        <v>3.0864197530864199E-2</v>
      </c>
      <c r="C173" s="16" t="s">
        <v>23</v>
      </c>
      <c r="D173" s="16"/>
      <c r="E173" s="16"/>
      <c r="F173" s="16" t="s">
        <v>152</v>
      </c>
    </row>
    <row r="174" spans="1:6">
      <c r="A174" s="16"/>
      <c r="B174" s="16"/>
      <c r="C174" s="16"/>
      <c r="D174" s="16"/>
      <c r="E174" s="16"/>
      <c r="F174" s="16"/>
    </row>
    <row r="175" spans="1:6" ht="15">
      <c r="A175" s="15" t="s">
        <v>76</v>
      </c>
      <c r="B175" s="16"/>
      <c r="C175" s="16"/>
      <c r="D175" s="16"/>
      <c r="E175" s="16"/>
      <c r="F175" s="16"/>
    </row>
    <row r="176" spans="1:6">
      <c r="A176" s="16" t="s">
        <v>87</v>
      </c>
      <c r="B176" s="16">
        <v>1</v>
      </c>
      <c r="C176" s="16" t="s">
        <v>50</v>
      </c>
      <c r="D176" s="16"/>
      <c r="E176" s="16"/>
      <c r="F176" s="16"/>
    </row>
    <row r="177" spans="1:6">
      <c r="A177" s="16" t="s">
        <v>128</v>
      </c>
      <c r="B177" s="17">
        <v>1.11111111111111E-9</v>
      </c>
      <c r="C177" s="16" t="s">
        <v>14</v>
      </c>
      <c r="D177" s="16"/>
      <c r="E177" s="16"/>
      <c r="F177" s="16"/>
    </row>
    <row r="178" spans="1:6">
      <c r="A178" s="16" t="s">
        <v>129</v>
      </c>
      <c r="B178" s="17">
        <v>1.6666666666666699E-7</v>
      </c>
      <c r="C178" s="16" t="s">
        <v>14</v>
      </c>
      <c r="D178" s="16"/>
      <c r="E178" s="16"/>
      <c r="F178" s="16"/>
    </row>
    <row r="179" spans="1:6">
      <c r="A179" s="16" t="s">
        <v>130</v>
      </c>
      <c r="B179" s="17">
        <v>4.4444444444444401E-7</v>
      </c>
      <c r="C179" s="16" t="s">
        <v>14</v>
      </c>
      <c r="D179" s="16"/>
      <c r="E179" s="16"/>
      <c r="F179" s="16"/>
    </row>
    <row r="180" spans="1:6">
      <c r="A180" s="17" t="s">
        <v>131</v>
      </c>
      <c r="B180" s="17">
        <v>1.11111111111111E-11</v>
      </c>
      <c r="C180" s="16" t="s">
        <v>14</v>
      </c>
      <c r="D180" s="16"/>
      <c r="E180" s="16"/>
      <c r="F180" s="16"/>
    </row>
    <row r="181" spans="1:6">
      <c r="A181" s="17" t="s">
        <v>132</v>
      </c>
      <c r="B181" s="17">
        <v>7.77777777777778E-7</v>
      </c>
      <c r="C181" s="16" t="s">
        <v>14</v>
      </c>
      <c r="D181" s="16"/>
      <c r="E181" s="16"/>
      <c r="F181" s="16"/>
    </row>
    <row r="182" spans="1:6">
      <c r="A182" s="17" t="s">
        <v>153</v>
      </c>
      <c r="B182" s="16">
        <v>6.22222222222222E-2</v>
      </c>
      <c r="C182" s="16" t="s">
        <v>14</v>
      </c>
      <c r="D182" s="16"/>
      <c r="E182" s="16"/>
      <c r="F182" s="16"/>
    </row>
    <row r="183" spans="1:6">
      <c r="A183" s="17" t="s">
        <v>154</v>
      </c>
      <c r="B183" s="17">
        <v>1.5555555555555599E-5</v>
      </c>
      <c r="C183" s="16" t="s">
        <v>14</v>
      </c>
      <c r="D183" s="16"/>
      <c r="E183" s="16"/>
      <c r="F183" s="16"/>
    </row>
    <row r="184" spans="1:6">
      <c r="A184" s="17" t="s">
        <v>93</v>
      </c>
      <c r="B184" s="17">
        <v>1.11111111111111E-7</v>
      </c>
      <c r="C184" s="16" t="s">
        <v>14</v>
      </c>
      <c r="D184" s="16"/>
      <c r="E184" s="16"/>
      <c r="F184" s="16"/>
    </row>
    <row r="185" spans="1:6">
      <c r="A185" s="16" t="s">
        <v>134</v>
      </c>
      <c r="B185" s="17">
        <v>3.3333333333333298E-17</v>
      </c>
      <c r="C185" s="16" t="s">
        <v>14</v>
      </c>
      <c r="D185" s="16"/>
      <c r="E185" s="16"/>
      <c r="F185" s="17"/>
    </row>
    <row r="186" spans="1:6">
      <c r="A186" s="16" t="s">
        <v>135</v>
      </c>
      <c r="B186" s="17">
        <v>1.11111111111111E-7</v>
      </c>
      <c r="C186" s="16" t="s">
        <v>14</v>
      </c>
      <c r="D186" s="16"/>
      <c r="E186" s="17"/>
      <c r="F186" s="16"/>
    </row>
    <row r="187" spans="1:6">
      <c r="A187" s="17" t="s">
        <v>136</v>
      </c>
      <c r="B187" s="17">
        <v>3.3333333333333302E-11</v>
      </c>
      <c r="C187" s="16" t="s">
        <v>14</v>
      </c>
      <c r="D187" s="16"/>
      <c r="E187" s="16"/>
      <c r="F187" s="16"/>
    </row>
    <row r="188" spans="1:6">
      <c r="A188" s="16" t="s">
        <v>155</v>
      </c>
      <c r="B188" s="17">
        <v>2.22222222222222E-6</v>
      </c>
      <c r="C188" s="16" t="s">
        <v>14</v>
      </c>
      <c r="D188" s="16"/>
      <c r="E188" s="16"/>
      <c r="F188" s="16"/>
    </row>
    <row r="189" spans="1:6">
      <c r="A189" s="16" t="s">
        <v>139</v>
      </c>
      <c r="B189" s="17">
        <v>2.5555555555555602E-5</v>
      </c>
      <c r="C189" s="16" t="s">
        <v>14</v>
      </c>
      <c r="D189" s="16"/>
      <c r="E189" s="16"/>
      <c r="F189" s="16"/>
    </row>
    <row r="190" spans="1:6">
      <c r="A190" s="16" t="s">
        <v>140</v>
      </c>
      <c r="B190" s="17">
        <v>1.11111111111111E-8</v>
      </c>
      <c r="C190" s="16" t="s">
        <v>14</v>
      </c>
      <c r="D190" s="16"/>
      <c r="E190" s="16"/>
      <c r="F190" s="16"/>
    </row>
    <row r="191" spans="1:6">
      <c r="A191" s="16" t="s">
        <v>141</v>
      </c>
      <c r="B191" s="17">
        <v>1.11111111111111E-7</v>
      </c>
      <c r="C191" s="16" t="s">
        <v>14</v>
      </c>
      <c r="D191" s="16"/>
      <c r="E191" s="16"/>
      <c r="F191" s="16"/>
    </row>
    <row r="192" spans="1:6">
      <c r="A192" s="17" t="s">
        <v>142</v>
      </c>
      <c r="B192" s="17">
        <v>1.33333333333333E-6</v>
      </c>
      <c r="C192" s="16" t="s">
        <v>14</v>
      </c>
      <c r="D192" s="16"/>
      <c r="E192" s="16"/>
      <c r="F192" s="16"/>
    </row>
    <row r="193" spans="1:6">
      <c r="A193" s="17" t="s">
        <v>143</v>
      </c>
      <c r="B193" s="17">
        <v>2.2222222222222201E-7</v>
      </c>
      <c r="C193" s="16" t="s">
        <v>14</v>
      </c>
      <c r="D193" s="16"/>
      <c r="E193" s="16"/>
      <c r="F193" s="16"/>
    </row>
    <row r="194" spans="1:6">
      <c r="A194" s="16" t="s">
        <v>144</v>
      </c>
      <c r="B194" s="17">
        <v>2.2222222222222201E-8</v>
      </c>
      <c r="C194" s="16" t="s">
        <v>14</v>
      </c>
      <c r="D194" s="16"/>
      <c r="E194" s="16"/>
      <c r="F194" s="16"/>
    </row>
    <row r="195" spans="1:6">
      <c r="A195" s="16" t="s">
        <v>120</v>
      </c>
      <c r="B195" s="17">
        <v>6.1111111111111095E-7</v>
      </c>
      <c r="C195" s="16" t="s">
        <v>14</v>
      </c>
      <c r="D195" s="16"/>
      <c r="E195" s="16"/>
      <c r="F195" s="16"/>
    </row>
    <row r="196" spans="1:6">
      <c r="A196" s="17" t="s">
        <v>147</v>
      </c>
      <c r="B196" s="17">
        <v>2.2222222222222201E-7</v>
      </c>
      <c r="C196" s="16" t="s">
        <v>14</v>
      </c>
      <c r="D196" s="16"/>
      <c r="E196" s="16"/>
      <c r="F196" s="16"/>
    </row>
    <row r="200" spans="1:6">
      <c r="B200" s="3"/>
    </row>
    <row r="201" spans="1:6">
      <c r="B201" s="3"/>
    </row>
    <row r="202" spans="1:6">
      <c r="B202" s="3"/>
    </row>
    <row r="209" spans="1:6">
      <c r="E209" s="3"/>
      <c r="F209" s="3"/>
    </row>
    <row r="210" spans="1:6">
      <c r="B210" s="3"/>
      <c r="E210" s="3"/>
      <c r="F210" s="3"/>
    </row>
    <row r="211" spans="1:6">
      <c r="B211" s="3"/>
      <c r="C211" s="3"/>
      <c r="E211" s="3"/>
      <c r="F211" s="3"/>
    </row>
    <row r="212" spans="1:6">
      <c r="B212" s="3"/>
      <c r="C212" s="3"/>
      <c r="E212" s="3"/>
      <c r="F212" s="3"/>
    </row>
    <row r="213" spans="1:6">
      <c r="B213" s="3"/>
      <c r="E213" s="3"/>
      <c r="F213" s="3"/>
    </row>
    <row r="214" spans="1:6">
      <c r="B214" s="3"/>
    </row>
    <row r="215" spans="1:6">
      <c r="A215" s="3"/>
      <c r="B215" s="3"/>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225C-3DF6-419F-815E-5D4862924308}">
  <dimension ref="A1:F417"/>
  <sheetViews>
    <sheetView topLeftCell="E33" zoomScale="85" zoomScaleNormal="25" workbookViewId="0">
      <selection activeCell="F59" sqref="F59"/>
    </sheetView>
  </sheetViews>
  <sheetFormatPr baseColWidth="10" defaultColWidth="9" defaultRowHeight="14.25"/>
  <cols>
    <col min="1" max="1" width="46.75" customWidth="1"/>
    <col min="2" max="2" width="79" customWidth="1"/>
    <col min="3" max="3" width="21.75" customWidth="1"/>
    <col min="4" max="4" width="28" customWidth="1"/>
    <col min="5" max="5" width="99.75" bestFit="1" customWidth="1"/>
    <col min="6" max="6" width="45.375" customWidth="1"/>
  </cols>
  <sheetData>
    <row r="1" spans="1:6" ht="15">
      <c r="A1" s="6" t="s">
        <v>6</v>
      </c>
      <c r="B1" s="6" t="s">
        <v>7</v>
      </c>
      <c r="C1" s="6" t="s">
        <v>8</v>
      </c>
      <c r="D1" s="6" t="s">
        <v>9</v>
      </c>
      <c r="E1" s="6" t="s">
        <v>10</v>
      </c>
      <c r="F1" s="6" t="s">
        <v>11</v>
      </c>
    </row>
    <row r="3" spans="1:6" ht="15">
      <c r="A3" s="36" t="s">
        <v>159</v>
      </c>
      <c r="B3" s="35"/>
      <c r="C3" s="35"/>
      <c r="D3" s="35"/>
      <c r="E3" s="35"/>
      <c r="F3" s="35"/>
    </row>
    <row r="4" spans="1:6">
      <c r="A4" s="35" t="s">
        <v>160</v>
      </c>
      <c r="B4" s="35">
        <v>1.2210000000000001</v>
      </c>
      <c r="C4" s="35" t="s">
        <v>17</v>
      </c>
      <c r="D4" s="35"/>
      <c r="E4" s="35"/>
      <c r="F4" s="35"/>
    </row>
    <row r="5" spans="1:6">
      <c r="A5" s="42" t="s">
        <v>161</v>
      </c>
      <c r="B5" s="35">
        <v>0.626</v>
      </c>
      <c r="C5" s="35"/>
      <c r="D5" s="35" t="s">
        <v>162</v>
      </c>
      <c r="E5" s="35"/>
      <c r="F5" s="35"/>
    </row>
    <row r="6" spans="1:6">
      <c r="A6" s="42" t="s">
        <v>163</v>
      </c>
      <c r="B6" s="35">
        <v>0.34499999999999997</v>
      </c>
      <c r="C6" s="35"/>
      <c r="D6" s="35" t="s">
        <v>162</v>
      </c>
      <c r="E6" s="35"/>
      <c r="F6" s="35"/>
    </row>
    <row r="7" spans="1:6">
      <c r="A7" s="42" t="s">
        <v>164</v>
      </c>
      <c r="B7" s="35">
        <v>2.9000000000000001E-2</v>
      </c>
      <c r="C7" s="35"/>
      <c r="D7" s="35" t="s">
        <v>162</v>
      </c>
      <c r="E7" s="35"/>
      <c r="F7" s="35"/>
    </row>
    <row r="8" spans="1:6">
      <c r="A8" s="42" t="s">
        <v>165</v>
      </c>
      <c r="B8" s="35">
        <v>0.80400000000000005</v>
      </c>
      <c r="C8" s="35"/>
      <c r="D8" s="35" t="s">
        <v>162</v>
      </c>
      <c r="E8" s="35"/>
      <c r="F8" s="35"/>
    </row>
    <row r="9" spans="1:6">
      <c r="A9" s="35" t="s">
        <v>166</v>
      </c>
      <c r="B9" s="35">
        <v>4.3249999999999997E-2</v>
      </c>
      <c r="C9" s="35" t="s">
        <v>14</v>
      </c>
      <c r="D9" s="35" t="s">
        <v>167</v>
      </c>
      <c r="E9" s="35"/>
      <c r="F9" s="35"/>
    </row>
    <row r="10" spans="1:6">
      <c r="A10" s="42" t="s">
        <v>168</v>
      </c>
      <c r="B10" s="35">
        <f>B16/27</f>
        <v>0.53703703703703709</v>
      </c>
      <c r="C10" s="35"/>
      <c r="D10" s="35" t="s">
        <v>169</v>
      </c>
      <c r="E10" s="35"/>
      <c r="F10" s="35"/>
    </row>
    <row r="11" spans="1:6">
      <c r="A11" s="42" t="s">
        <v>170</v>
      </c>
      <c r="B11" s="35">
        <f>21.6*4</f>
        <v>86.4</v>
      </c>
      <c r="C11" s="35" t="s">
        <v>171</v>
      </c>
      <c r="D11" s="35" t="s">
        <v>172</v>
      </c>
      <c r="E11" s="35"/>
      <c r="F11" s="35"/>
    </row>
    <row r="12" spans="1:6">
      <c r="A12" s="42" t="s">
        <v>173</v>
      </c>
      <c r="B12" s="35">
        <v>0.1268</v>
      </c>
      <c r="C12" s="35" t="s">
        <v>174</v>
      </c>
      <c r="D12" s="35" t="s">
        <v>172</v>
      </c>
      <c r="E12" s="35"/>
      <c r="F12" s="35"/>
    </row>
    <row r="13" spans="1:6">
      <c r="A13" s="35" t="s">
        <v>22</v>
      </c>
      <c r="B13" s="35">
        <v>1.53579</v>
      </c>
      <c r="C13" s="35" t="s">
        <v>23</v>
      </c>
      <c r="D13" s="35"/>
      <c r="E13" s="35"/>
      <c r="F13" s="35"/>
    </row>
    <row r="14" spans="1:6">
      <c r="A14" s="35" t="s">
        <v>24</v>
      </c>
      <c r="B14" s="35">
        <v>2.513E-2</v>
      </c>
      <c r="C14" s="35" t="s">
        <v>23</v>
      </c>
      <c r="D14" s="35"/>
      <c r="E14" s="35"/>
      <c r="F14" s="35"/>
    </row>
    <row r="15" spans="1:6">
      <c r="A15" s="35" t="s">
        <v>175</v>
      </c>
      <c r="B15" s="35">
        <v>0.7</v>
      </c>
      <c r="C15" s="35"/>
      <c r="D15" s="35"/>
      <c r="E15" s="35"/>
      <c r="F15" s="35"/>
    </row>
    <row r="16" spans="1:6">
      <c r="A16" s="35" t="s">
        <v>176</v>
      </c>
      <c r="B16" s="35">
        <v>14.5</v>
      </c>
      <c r="C16" s="35" t="s">
        <v>177</v>
      </c>
      <c r="D16" s="35" t="s">
        <v>172</v>
      </c>
      <c r="E16" s="35"/>
      <c r="F16" s="35"/>
    </row>
    <row r="17" spans="1:6">
      <c r="A17" s="35" t="s">
        <v>362</v>
      </c>
      <c r="B17" s="35">
        <f>2.1/100</f>
        <v>2.1000000000000001E-2</v>
      </c>
      <c r="C17" s="35"/>
      <c r="D17" s="35" t="s">
        <v>172</v>
      </c>
      <c r="E17" s="35"/>
      <c r="F17" s="35"/>
    </row>
    <row r="18" spans="1:6">
      <c r="A18" s="35" t="s">
        <v>363</v>
      </c>
      <c r="B18" s="35">
        <f>3.1/100</f>
        <v>3.1E-2</v>
      </c>
      <c r="C18" s="35"/>
      <c r="D18" s="35" t="s">
        <v>172</v>
      </c>
      <c r="E18" s="35"/>
      <c r="F18" s="35"/>
    </row>
    <row r="19" spans="1:6">
      <c r="A19" s="35" t="s">
        <v>364</v>
      </c>
      <c r="B19" s="35">
        <f>1.7/100</f>
        <v>1.7000000000000001E-2</v>
      </c>
      <c r="C19" s="35"/>
      <c r="D19" s="35" t="s">
        <v>172</v>
      </c>
      <c r="E19" s="35"/>
      <c r="F19" s="35"/>
    </row>
    <row r="20" spans="1:6">
      <c r="A20" s="35" t="s">
        <v>39</v>
      </c>
      <c r="B20" s="35">
        <v>142</v>
      </c>
      <c r="C20" s="35" t="s">
        <v>40</v>
      </c>
      <c r="D20" s="35"/>
      <c r="E20" s="35"/>
      <c r="F20" s="35"/>
    </row>
    <row r="21" spans="1:6">
      <c r="A21" s="35" t="s">
        <v>41</v>
      </c>
      <c r="B21" s="35">
        <f>39*2+16</f>
        <v>94</v>
      </c>
      <c r="C21" s="35" t="s">
        <v>40</v>
      </c>
      <c r="D21" s="35"/>
      <c r="E21" s="35"/>
      <c r="F21" s="35"/>
    </row>
    <row r="23" spans="1:6" ht="15">
      <c r="A23" s="34" t="s">
        <v>178</v>
      </c>
      <c r="B23" s="28"/>
      <c r="C23" s="28"/>
      <c r="D23" s="28"/>
      <c r="E23" s="28"/>
      <c r="F23" s="28"/>
    </row>
    <row r="24" spans="1:6" ht="15">
      <c r="A24" s="27" t="s">
        <v>44</v>
      </c>
      <c r="B24" s="28"/>
      <c r="C24" s="28"/>
      <c r="D24" s="28"/>
      <c r="E24" s="28"/>
      <c r="F24" s="28"/>
    </row>
    <row r="25" spans="1:6">
      <c r="A25" s="28" t="s">
        <v>45</v>
      </c>
      <c r="B25" s="28">
        <v>1</v>
      </c>
      <c r="C25" s="28" t="s">
        <v>46</v>
      </c>
      <c r="D25" s="28"/>
      <c r="E25" s="28"/>
      <c r="F25" s="28"/>
    </row>
    <row r="26" spans="1:6">
      <c r="A26" s="28" t="s">
        <v>47</v>
      </c>
      <c r="B26" s="28">
        <v>0.15650723831737146</v>
      </c>
      <c r="C26" s="28" t="s">
        <v>46</v>
      </c>
      <c r="D26" s="28"/>
      <c r="E26" s="28"/>
      <c r="F26" s="28"/>
    </row>
    <row r="27" spans="1:6">
      <c r="A27" s="28" t="s">
        <v>48</v>
      </c>
      <c r="B27" s="28">
        <v>1</v>
      </c>
      <c r="C27" s="28" t="s">
        <v>46</v>
      </c>
      <c r="D27" s="28"/>
      <c r="E27" s="28"/>
      <c r="F27" s="28"/>
    </row>
    <row r="28" spans="1:6">
      <c r="A28" s="28" t="s">
        <v>49</v>
      </c>
      <c r="B28" s="28">
        <v>6.2279044296606232</v>
      </c>
      <c r="C28" s="28" t="s">
        <v>46</v>
      </c>
      <c r="D28" s="28"/>
      <c r="E28" s="28"/>
      <c r="F28" s="28"/>
    </row>
    <row r="29" spans="1:6">
      <c r="A29" s="28" t="s">
        <v>51</v>
      </c>
      <c r="B29" s="28">
        <v>-6.2279044296606232</v>
      </c>
      <c r="C29" s="28" t="s">
        <v>50</v>
      </c>
      <c r="D29" s="28"/>
      <c r="E29" s="28"/>
      <c r="F29" s="28" t="s">
        <v>52</v>
      </c>
    </row>
    <row r="30" spans="1:6">
      <c r="A30" s="28" t="s">
        <v>53</v>
      </c>
      <c r="B30" s="28">
        <v>1</v>
      </c>
      <c r="C30" s="28" t="s">
        <v>46</v>
      </c>
      <c r="D30" s="28"/>
      <c r="E30" s="28"/>
      <c r="F30" s="28"/>
    </row>
    <row r="31" spans="1:6">
      <c r="A31" s="28" t="s">
        <v>54</v>
      </c>
      <c r="B31" s="29">
        <v>1</v>
      </c>
      <c r="C31" s="28" t="s">
        <v>46</v>
      </c>
      <c r="D31" s="28"/>
      <c r="E31" s="28"/>
      <c r="F31" s="28"/>
    </row>
    <row r="32" spans="1:6">
      <c r="A32" s="28" t="s">
        <v>179</v>
      </c>
      <c r="B32" s="28">
        <v>1</v>
      </c>
      <c r="C32" s="28" t="s">
        <v>46</v>
      </c>
      <c r="D32" s="28"/>
      <c r="E32" s="28"/>
      <c r="F32" s="28"/>
    </row>
    <row r="33" spans="1:6">
      <c r="A33" s="28" t="s">
        <v>180</v>
      </c>
      <c r="B33" s="28">
        <v>1</v>
      </c>
      <c r="C33" s="28" t="s">
        <v>46</v>
      </c>
      <c r="D33" s="28"/>
      <c r="E33" s="28"/>
      <c r="F33" s="28"/>
    </row>
    <row r="34" spans="1:6">
      <c r="A34" s="28" t="s">
        <v>184</v>
      </c>
      <c r="B34" s="28">
        <v>1</v>
      </c>
      <c r="C34" s="28" t="s">
        <v>46</v>
      </c>
      <c r="D34" s="28"/>
      <c r="E34" s="28"/>
      <c r="F34" s="28"/>
    </row>
    <row r="35" spans="1:6">
      <c r="A35" s="28" t="s">
        <v>185</v>
      </c>
      <c r="B35" s="29">
        <f>(B76/1000)/B13</f>
        <v>1.6052886704153268E-3</v>
      </c>
      <c r="C35" s="28" t="s">
        <v>46</v>
      </c>
      <c r="D35" s="28"/>
      <c r="E35" s="28"/>
      <c r="F35" s="28"/>
    </row>
    <row r="36" spans="1:6">
      <c r="A36" s="28" t="s">
        <v>186</v>
      </c>
      <c r="B36" s="29">
        <f>B35/B14</f>
        <v>6.3879374071441578E-2</v>
      </c>
      <c r="C36" s="28" t="s">
        <v>46</v>
      </c>
      <c r="D36" s="28"/>
      <c r="E36" s="28"/>
      <c r="F36" s="28"/>
    </row>
    <row r="37" spans="1:6">
      <c r="A37" s="28" t="s">
        <v>187</v>
      </c>
      <c r="B37" s="29">
        <f>-B36</f>
        <v>-6.3879374071441578E-2</v>
      </c>
      <c r="C37" s="28" t="s">
        <v>50</v>
      </c>
      <c r="D37" s="28"/>
      <c r="E37" s="28"/>
      <c r="F37" s="28" t="s">
        <v>52</v>
      </c>
    </row>
    <row r="38" spans="1:6">
      <c r="A38" s="28"/>
      <c r="B38" s="28"/>
      <c r="C38" s="28"/>
      <c r="D38" s="28"/>
      <c r="E38" s="28"/>
      <c r="F38" s="28"/>
    </row>
    <row r="39" spans="1:6" ht="15">
      <c r="A39" s="27" t="s">
        <v>61</v>
      </c>
      <c r="B39" s="28"/>
      <c r="C39" s="28"/>
      <c r="D39" s="28"/>
      <c r="E39" s="28"/>
      <c r="F39" s="28"/>
    </row>
    <row r="40" spans="1:6">
      <c r="A40" s="28" t="s">
        <v>62</v>
      </c>
      <c r="B40" s="28">
        <v>1</v>
      </c>
      <c r="C40" s="28" t="s">
        <v>14</v>
      </c>
      <c r="D40" s="28"/>
      <c r="E40" s="28"/>
      <c r="F40" s="28"/>
    </row>
    <row r="42" spans="1:6" ht="15">
      <c r="A42" s="1" t="s">
        <v>188</v>
      </c>
    </row>
    <row r="44" spans="1:6" ht="15">
      <c r="A44" s="18" t="s">
        <v>189</v>
      </c>
      <c r="B44" s="19"/>
      <c r="C44" s="19"/>
      <c r="D44" s="19"/>
      <c r="E44" s="19"/>
      <c r="F44" s="19"/>
    </row>
    <row r="45" spans="1:6" ht="15">
      <c r="A45" s="18" t="s">
        <v>44</v>
      </c>
      <c r="B45" s="19"/>
      <c r="C45" s="19"/>
      <c r="D45" s="19"/>
      <c r="E45" s="19"/>
      <c r="F45" s="19"/>
    </row>
    <row r="46" spans="1:6">
      <c r="A46" s="19" t="s">
        <v>85</v>
      </c>
      <c r="B46" s="20">
        <v>4.8703624122618545E-3</v>
      </c>
      <c r="C46" s="19" t="s">
        <v>65</v>
      </c>
      <c r="D46" s="41" t="s">
        <v>97</v>
      </c>
      <c r="E46" s="19" t="s">
        <v>98</v>
      </c>
      <c r="F46" s="19" t="s">
        <v>68</v>
      </c>
    </row>
    <row r="47" spans="1:6">
      <c r="A47" s="19" t="s">
        <v>99</v>
      </c>
      <c r="B47" s="20">
        <v>6.4102564102564103E-5</v>
      </c>
      <c r="C47" s="19" t="s">
        <v>14</v>
      </c>
      <c r="D47" s="19" t="s">
        <v>100</v>
      </c>
      <c r="E47" s="19" t="s">
        <v>101</v>
      </c>
      <c r="F47" s="19" t="s">
        <v>72</v>
      </c>
    </row>
    <row r="48" spans="1:6">
      <c r="A48" s="19"/>
      <c r="B48" s="19"/>
      <c r="C48" s="19"/>
      <c r="D48" s="19"/>
      <c r="E48" s="19"/>
      <c r="F48" s="19"/>
    </row>
    <row r="49" spans="1:6" ht="15">
      <c r="A49" s="18" t="s">
        <v>76</v>
      </c>
      <c r="B49" s="19"/>
      <c r="C49" s="19"/>
      <c r="D49" s="19"/>
      <c r="E49" s="19"/>
      <c r="F49" s="19"/>
    </row>
    <row r="50" spans="1:6">
      <c r="A50" s="19" t="s">
        <v>189</v>
      </c>
      <c r="B50" s="19">
        <v>1</v>
      </c>
      <c r="C50" s="19" t="s">
        <v>46</v>
      </c>
      <c r="D50" s="19"/>
      <c r="E50" s="19"/>
      <c r="F50" s="19"/>
    </row>
    <row r="51" spans="1:6">
      <c r="A51" s="19" t="s">
        <v>190</v>
      </c>
      <c r="B51" s="20">
        <f>0.253258845437616/1000</f>
        <v>2.5325884543761599E-4</v>
      </c>
      <c r="C51" s="19" t="s">
        <v>23</v>
      </c>
      <c r="D51" s="19"/>
      <c r="E51" s="19"/>
      <c r="F51" s="19" t="s">
        <v>104</v>
      </c>
    </row>
    <row r="52" spans="1:6">
      <c r="A52" s="19" t="s">
        <v>191</v>
      </c>
      <c r="B52" s="20">
        <v>0.2532588454376164</v>
      </c>
      <c r="C52" s="19" t="s">
        <v>14</v>
      </c>
      <c r="D52" s="19"/>
      <c r="E52" s="19"/>
      <c r="F52" s="19"/>
    </row>
    <row r="53" spans="1:6">
      <c r="A53" s="19" t="s">
        <v>192</v>
      </c>
      <c r="B53" s="20">
        <f>B52*(1-B15)</f>
        <v>7.5977653631284933E-2</v>
      </c>
      <c r="C53" s="19" t="s">
        <v>193</v>
      </c>
      <c r="D53" s="19"/>
      <c r="E53" s="19" t="s">
        <v>194</v>
      </c>
      <c r="F53" s="19"/>
    </row>
    <row r="55" spans="1:6" ht="15">
      <c r="A55" s="15" t="s">
        <v>195</v>
      </c>
      <c r="B55" s="16"/>
      <c r="C55" s="16"/>
      <c r="D55" s="16"/>
      <c r="E55" s="16"/>
      <c r="F55" s="16"/>
    </row>
    <row r="56" spans="1:6" ht="15">
      <c r="A56" s="15" t="s">
        <v>44</v>
      </c>
      <c r="B56" s="16"/>
      <c r="C56" s="16"/>
      <c r="D56" s="16"/>
      <c r="E56" s="16"/>
      <c r="F56" s="16"/>
    </row>
    <row r="57" spans="1:6">
      <c r="A57" s="16" t="s">
        <v>64</v>
      </c>
      <c r="B57" s="17">
        <f>0.3*(B52+B59)</f>
        <v>0.11396648044692738</v>
      </c>
      <c r="C57" s="16" t="s">
        <v>65</v>
      </c>
      <c r="D57" s="16"/>
      <c r="E57" s="16" t="s">
        <v>321</v>
      </c>
      <c r="F57" s="16" t="s">
        <v>68</v>
      </c>
    </row>
    <row r="58" spans="1:6">
      <c r="A58" s="16" t="s">
        <v>99</v>
      </c>
      <c r="B58" s="17">
        <v>2.2222222222222223E-5</v>
      </c>
      <c r="C58" s="16" t="s">
        <v>70</v>
      </c>
      <c r="D58" s="16"/>
      <c r="E58" s="16" t="s">
        <v>198</v>
      </c>
      <c r="F58" s="16" t="s">
        <v>72</v>
      </c>
    </row>
    <row r="59" spans="1:6">
      <c r="A59" s="16" t="s">
        <v>199</v>
      </c>
      <c r="B59" s="17">
        <f>(B53-B52*0.2)/0.2</f>
        <v>0.12662942271880825</v>
      </c>
      <c r="C59" s="16" t="s">
        <v>14</v>
      </c>
      <c r="D59" s="16"/>
      <c r="E59" s="16" t="s">
        <v>200</v>
      </c>
      <c r="F59" s="16" t="s">
        <v>201</v>
      </c>
    </row>
    <row r="60" spans="1:6">
      <c r="A60" s="16"/>
      <c r="B60" s="16"/>
      <c r="C60" s="16"/>
      <c r="D60" s="16"/>
      <c r="E60" s="16"/>
      <c r="F60" s="16"/>
    </row>
    <row r="61" spans="1:6" ht="15">
      <c r="A61" s="15" t="s">
        <v>61</v>
      </c>
      <c r="B61" s="16"/>
      <c r="C61" s="16"/>
      <c r="D61" s="16"/>
      <c r="E61" s="16"/>
      <c r="F61" s="16"/>
    </row>
    <row r="62" spans="1:6">
      <c r="A62" s="16" t="s">
        <v>202</v>
      </c>
      <c r="B62" s="16">
        <v>1</v>
      </c>
      <c r="C62" s="16" t="s">
        <v>46</v>
      </c>
      <c r="D62" s="16"/>
      <c r="E62" s="16"/>
      <c r="F62" s="16"/>
    </row>
    <row r="63" spans="1:6">
      <c r="A63" s="16" t="s">
        <v>203</v>
      </c>
      <c r="B63" s="17">
        <f>B53*B5/(1-B8)</f>
        <v>0.24266332231216522</v>
      </c>
      <c r="C63" s="16" t="s">
        <v>14</v>
      </c>
      <c r="D63" s="16"/>
      <c r="E63" s="16"/>
      <c r="F63" s="16"/>
    </row>
    <row r="64" spans="1:6">
      <c r="A64" s="16" t="s">
        <v>204</v>
      </c>
      <c r="B64" s="17">
        <f>(B52+B59)-(B63+B65+B66)</f>
        <v>0.13502159388895213</v>
      </c>
      <c r="C64" s="16" t="s">
        <v>14</v>
      </c>
      <c r="D64" s="16"/>
      <c r="E64" s="16"/>
      <c r="F64" s="16"/>
    </row>
    <row r="65" spans="1:6">
      <c r="A65" s="16" t="s">
        <v>92</v>
      </c>
      <c r="B65" s="17">
        <f>B53*B7*0.95</f>
        <v>2.0931843575418998E-3</v>
      </c>
      <c r="C65" s="16" t="s">
        <v>14</v>
      </c>
      <c r="D65" s="16"/>
      <c r="E65" s="16" t="s">
        <v>205</v>
      </c>
      <c r="F65" s="16"/>
    </row>
    <row r="66" spans="1:6">
      <c r="A66" s="16" t="s">
        <v>133</v>
      </c>
      <c r="B66" s="17">
        <f>B53*B7*0.05</f>
        <v>1.1016759776536316E-4</v>
      </c>
      <c r="C66" s="16" t="s">
        <v>14</v>
      </c>
      <c r="D66" s="16"/>
      <c r="E66" s="16"/>
      <c r="F66" s="16"/>
    </row>
    <row r="68" spans="1:6" ht="15">
      <c r="A68" s="27" t="s">
        <v>184</v>
      </c>
      <c r="B68" s="39" t="s">
        <v>80</v>
      </c>
      <c r="C68" s="29">
        <v>1</v>
      </c>
      <c r="D68" s="28"/>
      <c r="E68" s="28" t="s">
        <v>286</v>
      </c>
      <c r="F68" s="28"/>
    </row>
    <row r="69" spans="1:6" ht="15">
      <c r="A69" s="27" t="s">
        <v>44</v>
      </c>
      <c r="B69" s="28"/>
      <c r="C69" s="28"/>
      <c r="D69" s="28"/>
      <c r="E69" s="28"/>
      <c r="F69" s="28"/>
    </row>
    <row r="70" spans="1:6">
      <c r="A70" s="28" t="s">
        <v>287</v>
      </c>
      <c r="B70" s="28">
        <v>0</v>
      </c>
      <c r="C70" s="28" t="s">
        <v>73</v>
      </c>
      <c r="D70" s="28"/>
      <c r="E70" s="28"/>
      <c r="F70" s="28" t="s">
        <v>84</v>
      </c>
    </row>
    <row r="71" spans="1:6">
      <c r="A71" s="28" t="s">
        <v>85</v>
      </c>
      <c r="B71" s="28">
        <v>0</v>
      </c>
      <c r="C71" s="28" t="s">
        <v>65</v>
      </c>
      <c r="D71" s="28"/>
      <c r="E71" s="28"/>
      <c r="F71" s="28" t="s">
        <v>68</v>
      </c>
    </row>
    <row r="72" spans="1:6">
      <c r="A72" s="28" t="s">
        <v>288</v>
      </c>
      <c r="B72" s="28">
        <v>0</v>
      </c>
      <c r="C72" s="28" t="s">
        <v>50</v>
      </c>
      <c r="D72" s="28"/>
      <c r="E72" s="28"/>
      <c r="F72" s="28" t="s">
        <v>88</v>
      </c>
    </row>
    <row r="73" spans="1:6">
      <c r="A73" s="28"/>
      <c r="B73" s="28"/>
      <c r="C73" s="28"/>
      <c r="D73" s="28"/>
      <c r="E73" s="28"/>
      <c r="F73" s="28"/>
    </row>
    <row r="74" spans="1:6" ht="15">
      <c r="A74" s="27" t="s">
        <v>76</v>
      </c>
      <c r="B74" s="28"/>
      <c r="C74" s="28"/>
      <c r="D74" s="28"/>
      <c r="E74" s="28"/>
      <c r="F74" s="28"/>
    </row>
    <row r="75" spans="1:6">
      <c r="A75" s="28" t="s">
        <v>45</v>
      </c>
      <c r="B75" s="28">
        <v>1</v>
      </c>
      <c r="C75" s="28" t="s">
        <v>73</v>
      </c>
      <c r="D75" s="28"/>
      <c r="E75" s="28"/>
      <c r="F75" s="28"/>
    </row>
    <row r="76" spans="1:6">
      <c r="A76" s="28" t="s">
        <v>289</v>
      </c>
      <c r="B76" s="29">
        <f>B12*B11*B64/0.6</f>
        <v>2.4653862871371546</v>
      </c>
      <c r="C76" s="28" t="s">
        <v>290</v>
      </c>
      <c r="D76" s="28"/>
      <c r="E76" s="28"/>
      <c r="F76" s="28"/>
    </row>
    <row r="77" spans="1:6">
      <c r="A77" s="28" t="s">
        <v>291</v>
      </c>
      <c r="B77" s="37">
        <f>B64-B90</f>
        <v>0.1320296869850098</v>
      </c>
      <c r="C77" s="28" t="s">
        <v>14</v>
      </c>
      <c r="D77" s="28"/>
      <c r="E77" s="28"/>
      <c r="F77" s="28" t="s">
        <v>104</v>
      </c>
    </row>
    <row r="78" spans="1:6">
      <c r="A78" s="28" t="s">
        <v>91</v>
      </c>
      <c r="B78" s="28">
        <v>0</v>
      </c>
      <c r="C78" s="29" t="s">
        <v>14</v>
      </c>
      <c r="D78" s="28"/>
      <c r="E78" s="28"/>
      <c r="F78" s="28"/>
    </row>
    <row r="79" spans="1:6">
      <c r="A79" s="28" t="s">
        <v>92</v>
      </c>
      <c r="B79" s="28">
        <v>0</v>
      </c>
      <c r="C79" s="29" t="s">
        <v>14</v>
      </c>
      <c r="D79" s="28"/>
      <c r="E79" s="28"/>
      <c r="F79" s="28"/>
    </row>
    <row r="80" spans="1:6">
      <c r="A80" s="28" t="s">
        <v>93</v>
      </c>
      <c r="B80" s="28">
        <v>0</v>
      </c>
      <c r="C80" s="29" t="s">
        <v>14</v>
      </c>
      <c r="D80" s="28"/>
      <c r="E80" s="28"/>
      <c r="F80" s="28"/>
    </row>
    <row r="81" spans="1:6">
      <c r="A81" s="28" t="s">
        <v>94</v>
      </c>
      <c r="B81" s="28">
        <v>0</v>
      </c>
      <c r="C81" s="29" t="s">
        <v>14</v>
      </c>
      <c r="D81" s="28"/>
      <c r="E81" s="28"/>
      <c r="F81" s="28"/>
    </row>
    <row r="82" spans="1:6">
      <c r="A82" s="28" t="s">
        <v>95</v>
      </c>
      <c r="B82" s="28">
        <v>0</v>
      </c>
      <c r="C82" s="29" t="s">
        <v>14</v>
      </c>
      <c r="D82" s="28"/>
      <c r="E82" s="28"/>
      <c r="F82" s="28"/>
    </row>
    <row r="84" spans="1:6" ht="15">
      <c r="A84" s="4" t="s">
        <v>293</v>
      </c>
      <c r="B84" s="2"/>
      <c r="C84" s="2"/>
      <c r="D84" s="2"/>
      <c r="E84" s="2"/>
      <c r="F84" s="2"/>
    </row>
    <row r="85" spans="1:6">
      <c r="A85" s="5" t="s">
        <v>294</v>
      </c>
      <c r="B85" s="5">
        <f>B12*B11*B64/0.6</f>
        <v>2.4653862871371546</v>
      </c>
      <c r="C85" s="5" t="s">
        <v>295</v>
      </c>
      <c r="D85" s="2"/>
      <c r="E85" s="2"/>
      <c r="F85" s="2"/>
    </row>
    <row r="86" spans="1:6">
      <c r="A86" s="2" t="s">
        <v>296</v>
      </c>
      <c r="B86" s="2"/>
      <c r="C86" s="2"/>
      <c r="D86" s="2"/>
      <c r="E86" s="5"/>
      <c r="F86" s="2"/>
    </row>
    <row r="87" spans="1:6">
      <c r="A87" s="2" t="s">
        <v>297</v>
      </c>
      <c r="B87" s="5">
        <f>B64</f>
        <v>0.13502159388895213</v>
      </c>
      <c r="C87" s="5" t="s">
        <v>14</v>
      </c>
      <c r="D87" s="5"/>
      <c r="E87" s="5"/>
      <c r="F87" s="2"/>
    </row>
    <row r="88" spans="1:6">
      <c r="A88" s="2" t="s">
        <v>298</v>
      </c>
      <c r="B88" s="5">
        <f>(1*B76)/(0.0821*273)</f>
        <v>0.10999657735082091</v>
      </c>
      <c r="C88" s="2"/>
      <c r="D88" s="5"/>
      <c r="E88" s="5"/>
      <c r="F88" s="2"/>
    </row>
    <row r="89" spans="1:6">
      <c r="A89" s="2" t="s">
        <v>299</v>
      </c>
      <c r="B89" s="2">
        <f>16*0.6+44*0.4</f>
        <v>27.200000000000003</v>
      </c>
      <c r="C89" s="2" t="s">
        <v>40</v>
      </c>
      <c r="D89" s="2"/>
      <c r="E89" s="2"/>
      <c r="F89" s="2"/>
    </row>
    <row r="90" spans="1:6">
      <c r="A90" s="2" t="s">
        <v>300</v>
      </c>
      <c r="B90" s="5">
        <f>B89*B88/1000</f>
        <v>2.9919069039423293E-3</v>
      </c>
      <c r="C90" s="2" t="s">
        <v>14</v>
      </c>
      <c r="D90" s="2"/>
      <c r="E90" s="2"/>
      <c r="F90" s="2"/>
    </row>
    <row r="91" spans="1:6" ht="20.25">
      <c r="A91" s="2" t="s">
        <v>301</v>
      </c>
      <c r="B91" s="5">
        <f>B87-B90</f>
        <v>0.1320296869850098</v>
      </c>
      <c r="C91" s="2" t="s">
        <v>14</v>
      </c>
      <c r="D91" s="2"/>
      <c r="E91" s="40"/>
      <c r="F91" s="2"/>
    </row>
    <row r="92" spans="1:6">
      <c r="A92" s="2" t="s">
        <v>302</v>
      </c>
      <c r="B92" s="5">
        <f>(B64)/(B90/B4)</f>
        <v>55.102438488703839</v>
      </c>
      <c r="C92" s="2" t="s">
        <v>14</v>
      </c>
      <c r="D92" s="2"/>
      <c r="E92" s="2"/>
      <c r="F92" s="2"/>
    </row>
    <row r="94" spans="1:6" ht="15">
      <c r="A94" s="33" t="s">
        <v>303</v>
      </c>
      <c r="B94" s="24"/>
      <c r="C94" s="25"/>
      <c r="D94" s="24" t="s">
        <v>108</v>
      </c>
      <c r="E94" s="25"/>
      <c r="F94" s="25"/>
    </row>
    <row r="95" spans="1:6" ht="15">
      <c r="A95" s="24" t="s">
        <v>44</v>
      </c>
      <c r="B95" s="25"/>
      <c r="C95" s="25"/>
      <c r="D95" s="25"/>
      <c r="E95" s="25"/>
      <c r="F95" s="25"/>
    </row>
    <row r="96" spans="1:6">
      <c r="A96" s="25" t="s">
        <v>109</v>
      </c>
      <c r="B96" s="26">
        <v>2.0799999999999999E-4</v>
      </c>
      <c r="C96" s="25" t="s">
        <v>14</v>
      </c>
      <c r="D96" s="25"/>
      <c r="E96" s="25"/>
      <c r="F96" s="25" t="s">
        <v>110</v>
      </c>
    </row>
    <row r="97" spans="1:6">
      <c r="A97" s="25" t="s">
        <v>111</v>
      </c>
      <c r="B97" s="26">
        <v>5.4000000000000001E-11</v>
      </c>
      <c r="C97" s="25" t="s">
        <v>46</v>
      </c>
      <c r="D97" s="25"/>
      <c r="E97" s="25"/>
      <c r="F97" s="25" t="s">
        <v>112</v>
      </c>
    </row>
    <row r="98" spans="1:6">
      <c r="A98" s="25" t="s">
        <v>85</v>
      </c>
      <c r="B98" s="25">
        <v>0.18562874251497</v>
      </c>
      <c r="C98" s="25" t="s">
        <v>86</v>
      </c>
      <c r="D98" s="25"/>
      <c r="E98" s="25"/>
      <c r="F98" s="25" t="s">
        <v>68</v>
      </c>
    </row>
    <row r="99" spans="1:6">
      <c r="A99" s="25" t="s">
        <v>113</v>
      </c>
      <c r="B99" s="26">
        <v>1.4999999999999999E-4</v>
      </c>
      <c r="C99" s="25" t="s">
        <v>14</v>
      </c>
      <c r="D99" s="25"/>
      <c r="E99" s="25"/>
      <c r="F99" s="25" t="s">
        <v>114</v>
      </c>
    </row>
    <row r="100" spans="1:6">
      <c r="A100" s="25" t="s">
        <v>115</v>
      </c>
      <c r="B100" s="26">
        <v>3.98E-6</v>
      </c>
      <c r="C100" s="25" t="s">
        <v>14</v>
      </c>
      <c r="D100" s="25"/>
      <c r="E100" s="25"/>
      <c r="F100" s="25" t="s">
        <v>116</v>
      </c>
    </row>
    <row r="101" spans="1:6">
      <c r="A101" s="25"/>
      <c r="B101" s="25"/>
      <c r="C101" s="25"/>
      <c r="D101" s="25"/>
      <c r="E101" s="25"/>
      <c r="F101" s="25"/>
    </row>
    <row r="102" spans="1:6" ht="15">
      <c r="A102" s="24" t="s">
        <v>61</v>
      </c>
      <c r="B102" s="25"/>
      <c r="C102" s="25"/>
      <c r="D102" s="25"/>
      <c r="E102" s="25"/>
      <c r="F102" s="25"/>
    </row>
    <row r="103" spans="1:6">
      <c r="A103" s="25" t="s">
        <v>47</v>
      </c>
      <c r="B103" s="25">
        <v>1</v>
      </c>
      <c r="C103" s="25" t="s">
        <v>46</v>
      </c>
      <c r="D103" s="25"/>
      <c r="E103" s="25"/>
      <c r="F103" s="25"/>
    </row>
    <row r="104" spans="1:6">
      <c r="A104" s="25" t="s">
        <v>117</v>
      </c>
      <c r="B104" s="25">
        <v>1</v>
      </c>
      <c r="C104" s="25" t="s">
        <v>23</v>
      </c>
      <c r="D104" s="25"/>
      <c r="E104" s="25"/>
      <c r="F104" s="25"/>
    </row>
    <row r="105" spans="1:6">
      <c r="A105" s="25" t="s">
        <v>92</v>
      </c>
      <c r="B105" s="26">
        <v>0.97457000000000005</v>
      </c>
      <c r="C105" s="25" t="s">
        <v>14</v>
      </c>
      <c r="D105" s="25"/>
      <c r="E105" s="25"/>
      <c r="F105" s="25"/>
    </row>
    <row r="106" spans="1:6">
      <c r="A106" s="25" t="s">
        <v>118</v>
      </c>
      <c r="B106" s="26">
        <v>1.28</v>
      </c>
      <c r="C106" s="25" t="s">
        <v>50</v>
      </c>
      <c r="D106" s="25"/>
      <c r="E106" s="25"/>
      <c r="F106" s="25"/>
    </row>
    <row r="107" spans="1:6">
      <c r="A107" s="25" t="s">
        <v>94</v>
      </c>
      <c r="B107" s="26">
        <v>6.7000000000000002E-6</v>
      </c>
      <c r="C107" s="25" t="s">
        <v>14</v>
      </c>
      <c r="D107" s="25"/>
      <c r="E107" s="25"/>
      <c r="F107" s="25"/>
    </row>
    <row r="108" spans="1:6">
      <c r="A108" s="25" t="s">
        <v>95</v>
      </c>
      <c r="B108" s="25">
        <v>8.6E-3</v>
      </c>
      <c r="C108" s="25" t="s">
        <v>14</v>
      </c>
      <c r="D108" s="25"/>
      <c r="E108" s="25"/>
      <c r="F108" s="25"/>
    </row>
    <row r="109" spans="1:6">
      <c r="A109" s="25" t="s">
        <v>119</v>
      </c>
      <c r="B109" s="25">
        <v>4.8779999999999997E-2</v>
      </c>
      <c r="C109" s="25" t="s">
        <v>14</v>
      </c>
      <c r="D109" s="25"/>
      <c r="E109" s="25"/>
      <c r="F109" s="25"/>
    </row>
    <row r="110" spans="1:6">
      <c r="A110" s="25" t="s">
        <v>120</v>
      </c>
      <c r="B110" s="26">
        <v>6.5989999999999998E-6</v>
      </c>
      <c r="C110" s="25" t="s">
        <v>14</v>
      </c>
      <c r="D110" s="25"/>
      <c r="E110" s="25"/>
      <c r="F110" s="25"/>
    </row>
    <row r="112" spans="1:6" ht="15">
      <c r="A112" s="34" t="s">
        <v>186</v>
      </c>
      <c r="B112" s="28"/>
      <c r="C112" s="28"/>
      <c r="D112" s="27" t="s">
        <v>121</v>
      </c>
      <c r="E112" s="28"/>
      <c r="F112" s="28"/>
    </row>
    <row r="113" spans="1:6" ht="15">
      <c r="A113" s="27" t="s">
        <v>44</v>
      </c>
      <c r="B113" s="28"/>
      <c r="C113" s="28"/>
      <c r="D113" s="28"/>
      <c r="E113" s="28"/>
      <c r="F113" s="28"/>
    </row>
    <row r="114" spans="1:6">
      <c r="A114" s="28" t="s">
        <v>85</v>
      </c>
      <c r="B114" s="28">
        <v>2.7244000000000001E-3</v>
      </c>
      <c r="C114" s="28" t="s">
        <v>86</v>
      </c>
      <c r="D114" s="28"/>
      <c r="E114" s="28"/>
      <c r="F114" s="28" t="s">
        <v>68</v>
      </c>
    </row>
    <row r="115" spans="1:6">
      <c r="A115" s="28" t="s">
        <v>122</v>
      </c>
      <c r="B115" s="29">
        <v>6.4679999999999999E-7</v>
      </c>
      <c r="C115" s="28" t="s">
        <v>46</v>
      </c>
      <c r="D115" s="28"/>
      <c r="E115" s="28"/>
      <c r="F115" s="28" t="s">
        <v>123</v>
      </c>
    </row>
    <row r="116" spans="1:6">
      <c r="A116" s="28"/>
      <c r="B116" s="28"/>
      <c r="C116" s="28"/>
      <c r="D116" s="28"/>
      <c r="E116" s="28"/>
      <c r="F116" s="28"/>
    </row>
    <row r="117" spans="1:6" ht="15">
      <c r="A117" s="27" t="s">
        <v>61</v>
      </c>
      <c r="B117" s="28"/>
      <c r="C117" s="28"/>
      <c r="D117" s="28"/>
      <c r="E117" s="28"/>
      <c r="F117" s="28"/>
    </row>
    <row r="118" spans="1:6">
      <c r="A118" s="28" t="s">
        <v>124</v>
      </c>
      <c r="B118" s="28">
        <v>1</v>
      </c>
      <c r="C118" s="28" t="s">
        <v>46</v>
      </c>
      <c r="D118" s="28"/>
      <c r="E118" s="28"/>
      <c r="F118" s="28"/>
    </row>
    <row r="119" spans="1:6">
      <c r="A119" s="28" t="s">
        <v>125</v>
      </c>
      <c r="B119" s="28">
        <v>0</v>
      </c>
      <c r="C119" s="28" t="s">
        <v>50</v>
      </c>
      <c r="D119" s="28"/>
      <c r="E119" s="28" t="s">
        <v>126</v>
      </c>
      <c r="F119" s="28"/>
    </row>
    <row r="120" spans="1:6">
      <c r="A120" s="28" t="s">
        <v>128</v>
      </c>
      <c r="B120" s="29">
        <v>9.7999999999999992E-10</v>
      </c>
      <c r="C120" s="28" t="s">
        <v>14</v>
      </c>
      <c r="D120" s="28"/>
      <c r="E120" s="28"/>
      <c r="F120" s="28"/>
    </row>
    <row r="121" spans="1:6">
      <c r="A121" s="28" t="s">
        <v>129</v>
      </c>
      <c r="B121" s="29">
        <v>1.4700000000000001E-7</v>
      </c>
      <c r="C121" s="28" t="s">
        <v>14</v>
      </c>
      <c r="D121" s="28"/>
      <c r="E121" s="28"/>
      <c r="F121" s="28"/>
    </row>
    <row r="122" spans="1:6">
      <c r="A122" s="28" t="s">
        <v>130</v>
      </c>
      <c r="B122" s="29">
        <v>3.9200000000000002E-7</v>
      </c>
      <c r="C122" s="28" t="s">
        <v>14</v>
      </c>
      <c r="D122" s="28"/>
      <c r="E122" s="28"/>
      <c r="F122" s="28"/>
    </row>
    <row r="123" spans="1:6">
      <c r="A123" s="28" t="s">
        <v>131</v>
      </c>
      <c r="B123" s="29">
        <v>9.7999999999999994E-12</v>
      </c>
      <c r="C123" s="28" t="s">
        <v>14</v>
      </c>
      <c r="D123" s="28"/>
      <c r="E123" s="28"/>
      <c r="F123" s="28"/>
    </row>
    <row r="124" spans="1:6">
      <c r="A124" s="28" t="s">
        <v>132</v>
      </c>
      <c r="B124" s="29">
        <v>6.8599999999999998E-7</v>
      </c>
      <c r="C124" s="28" t="s">
        <v>14</v>
      </c>
      <c r="D124" s="28"/>
      <c r="E124" s="28"/>
      <c r="F124" s="28"/>
    </row>
    <row r="125" spans="1:6">
      <c r="A125" s="28" t="s">
        <v>92</v>
      </c>
      <c r="B125" s="28">
        <v>5.4879999999999998E-2</v>
      </c>
      <c r="C125" s="28" t="s">
        <v>14</v>
      </c>
      <c r="D125" s="28"/>
      <c r="E125" s="28"/>
      <c r="F125" s="28"/>
    </row>
    <row r="126" spans="1:6">
      <c r="A126" s="28" t="s">
        <v>133</v>
      </c>
      <c r="B126" s="29">
        <v>5.7819999999999999E-6</v>
      </c>
      <c r="C126" s="28" t="s">
        <v>14</v>
      </c>
      <c r="D126" s="28"/>
      <c r="E126" s="28"/>
      <c r="F126" s="28"/>
    </row>
    <row r="127" spans="1:6">
      <c r="A127" s="28" t="s">
        <v>93</v>
      </c>
      <c r="B127" s="29">
        <v>4.8999999999999997E-7</v>
      </c>
      <c r="C127" s="28" t="s">
        <v>14</v>
      </c>
      <c r="D127" s="28"/>
      <c r="E127" s="28"/>
      <c r="F127" s="28"/>
    </row>
    <row r="128" spans="1:6">
      <c r="A128" s="28" t="s">
        <v>134</v>
      </c>
      <c r="B128" s="29">
        <v>2.9400000000000001E-17</v>
      </c>
      <c r="C128" s="28" t="s">
        <v>14</v>
      </c>
      <c r="D128" s="28"/>
      <c r="E128" s="28"/>
      <c r="F128" s="28"/>
    </row>
    <row r="129" spans="1:6">
      <c r="A129" s="28" t="s">
        <v>135</v>
      </c>
      <c r="B129" s="29">
        <v>9.8000000000000004E-8</v>
      </c>
      <c r="C129" s="28" t="s">
        <v>14</v>
      </c>
      <c r="D129" s="28"/>
      <c r="E129" s="28"/>
      <c r="F129" s="28"/>
    </row>
    <row r="130" spans="1:6">
      <c r="A130" s="28" t="s">
        <v>136</v>
      </c>
      <c r="B130" s="29">
        <v>2.9400000000000003E-11</v>
      </c>
      <c r="C130" s="28" t="s">
        <v>14</v>
      </c>
      <c r="D130" s="28"/>
      <c r="E130" s="28"/>
      <c r="F130" s="28"/>
    </row>
    <row r="131" spans="1:6">
      <c r="A131" s="28" t="s">
        <v>95</v>
      </c>
      <c r="B131" s="29">
        <v>1.9599999999999999E-6</v>
      </c>
      <c r="C131" s="28" t="s">
        <v>14</v>
      </c>
      <c r="D131" s="28"/>
      <c r="E131" s="28"/>
      <c r="F131" s="28"/>
    </row>
    <row r="132" spans="1:6">
      <c r="A132" s="28" t="s">
        <v>137</v>
      </c>
      <c r="B132" s="29">
        <v>1.2739999999999999E-7</v>
      </c>
      <c r="C132" s="28" t="s">
        <v>14</v>
      </c>
      <c r="D132" s="28"/>
      <c r="E132" s="28"/>
      <c r="F132" s="28"/>
    </row>
    <row r="133" spans="1:6">
      <c r="A133" s="28" t="s">
        <v>138</v>
      </c>
      <c r="B133" s="29">
        <v>2.9400000000000002E-9</v>
      </c>
      <c r="C133" s="28" t="s">
        <v>14</v>
      </c>
      <c r="D133" s="28"/>
      <c r="E133" s="28"/>
      <c r="F133" s="28"/>
    </row>
    <row r="134" spans="1:6">
      <c r="A134" s="28" t="s">
        <v>139</v>
      </c>
      <c r="B134" s="29">
        <v>9.7019999999999996E-6</v>
      </c>
      <c r="C134" s="28" t="s">
        <v>14</v>
      </c>
      <c r="D134" s="28"/>
      <c r="E134" s="28"/>
      <c r="F134" s="28"/>
    </row>
    <row r="135" spans="1:6">
      <c r="A135" s="28" t="s">
        <v>140</v>
      </c>
      <c r="B135" s="29">
        <v>9.8000000000000001E-9</v>
      </c>
      <c r="C135" s="28" t="s">
        <v>14</v>
      </c>
      <c r="D135" s="28"/>
      <c r="E135" s="28"/>
      <c r="F135" s="28"/>
    </row>
    <row r="136" spans="1:6">
      <c r="A136" s="28" t="s">
        <v>141</v>
      </c>
      <c r="B136" s="29">
        <v>9.8000000000000004E-8</v>
      </c>
      <c r="C136" s="28" t="s">
        <v>14</v>
      </c>
      <c r="D136" s="28"/>
      <c r="E136" s="28"/>
      <c r="F136" s="28"/>
    </row>
    <row r="137" spans="1:6">
      <c r="A137" s="28" t="s">
        <v>142</v>
      </c>
      <c r="B137" s="29">
        <v>1.176E-6</v>
      </c>
      <c r="C137" s="28" t="s">
        <v>14</v>
      </c>
      <c r="D137" s="28"/>
      <c r="E137" s="28"/>
      <c r="F137" s="28"/>
    </row>
    <row r="138" spans="1:6">
      <c r="A138" s="28" t="s">
        <v>143</v>
      </c>
      <c r="B138" s="29">
        <v>1.9600000000000001E-7</v>
      </c>
      <c r="C138" s="28" t="s">
        <v>14</v>
      </c>
      <c r="D138" s="28"/>
      <c r="E138" s="28"/>
      <c r="F138" s="28"/>
    </row>
    <row r="139" spans="1:6">
      <c r="A139" s="28" t="s">
        <v>144</v>
      </c>
      <c r="B139" s="29">
        <v>1.96E-8</v>
      </c>
      <c r="C139" s="28" t="s">
        <v>14</v>
      </c>
      <c r="D139" s="28"/>
      <c r="E139" s="28"/>
      <c r="F139" s="28"/>
    </row>
    <row r="140" spans="1:6">
      <c r="A140" s="28" t="s">
        <v>145</v>
      </c>
      <c r="B140" s="29">
        <v>4.9000000000000002E-8</v>
      </c>
      <c r="C140" s="28" t="s">
        <v>14</v>
      </c>
      <c r="D140" s="28"/>
      <c r="E140" s="28"/>
      <c r="F140" s="28"/>
    </row>
    <row r="141" spans="1:6">
      <c r="A141" s="28" t="s">
        <v>146</v>
      </c>
      <c r="B141" s="29">
        <v>4.9000000000000002E-8</v>
      </c>
      <c r="C141" s="28" t="s">
        <v>14</v>
      </c>
      <c r="D141" s="28"/>
      <c r="E141" s="28"/>
      <c r="F141" s="28"/>
    </row>
    <row r="142" spans="1:6">
      <c r="A142" s="28" t="s">
        <v>120</v>
      </c>
      <c r="B142" s="29">
        <v>4.8999999999999997E-7</v>
      </c>
      <c r="C142" s="28" t="s">
        <v>14</v>
      </c>
      <c r="D142" s="28"/>
      <c r="E142" s="28"/>
      <c r="F142" s="28"/>
    </row>
    <row r="143" spans="1:6">
      <c r="A143" s="28" t="s">
        <v>147</v>
      </c>
      <c r="B143" s="29">
        <v>1.9600000000000001E-7</v>
      </c>
      <c r="C143" s="28" t="s">
        <v>14</v>
      </c>
      <c r="D143" s="28"/>
      <c r="E143" s="28"/>
      <c r="F143" s="28"/>
    </row>
    <row r="145" spans="1:6" ht="15">
      <c r="A145" s="30" t="s">
        <v>304</v>
      </c>
      <c r="B145" s="16"/>
      <c r="C145" s="16"/>
      <c r="D145" s="16"/>
      <c r="E145" s="16"/>
      <c r="F145" s="16"/>
    </row>
    <row r="146" spans="1:6" ht="15">
      <c r="A146" s="15" t="s">
        <v>44</v>
      </c>
      <c r="B146" s="16"/>
      <c r="C146" s="16"/>
      <c r="D146" s="16"/>
      <c r="E146" s="16"/>
      <c r="F146" s="16"/>
    </row>
    <row r="147" spans="1:6">
      <c r="A147" s="16" t="s">
        <v>85</v>
      </c>
      <c r="B147" s="16">
        <v>4.6333333333333296E-3</v>
      </c>
      <c r="C147" s="16" t="s">
        <v>86</v>
      </c>
      <c r="D147" s="16"/>
      <c r="E147" s="16"/>
      <c r="F147" s="16" t="s">
        <v>68</v>
      </c>
    </row>
    <row r="148" spans="1:6">
      <c r="A148" s="16" t="s">
        <v>149</v>
      </c>
      <c r="B148" s="17">
        <v>3.1111111111111102E-9</v>
      </c>
      <c r="C148" s="16" t="s">
        <v>46</v>
      </c>
      <c r="D148" s="16"/>
      <c r="E148" s="16"/>
      <c r="F148" s="16" t="s">
        <v>150</v>
      </c>
    </row>
    <row r="149" spans="1:6">
      <c r="A149" s="16" t="s">
        <v>151</v>
      </c>
      <c r="B149" s="16">
        <v>3.0864197530864199E-2</v>
      </c>
      <c r="C149" s="16" t="s">
        <v>23</v>
      </c>
      <c r="D149" s="16"/>
      <c r="E149" s="16"/>
      <c r="F149" s="16" t="s">
        <v>152</v>
      </c>
    </row>
    <row r="150" spans="1:6">
      <c r="A150" s="16"/>
      <c r="B150" s="16"/>
      <c r="C150" s="16"/>
      <c r="D150" s="16"/>
      <c r="E150" s="16"/>
      <c r="F150" s="16"/>
    </row>
    <row r="151" spans="1:6" ht="15">
      <c r="A151" s="15" t="s">
        <v>76</v>
      </c>
      <c r="B151" s="16"/>
      <c r="C151" s="16"/>
      <c r="D151" s="16"/>
      <c r="E151" s="16"/>
      <c r="F151" s="16"/>
    </row>
    <row r="152" spans="1:6">
      <c r="A152" s="16" t="s">
        <v>87</v>
      </c>
      <c r="B152" s="16">
        <v>1</v>
      </c>
      <c r="C152" s="16" t="s">
        <v>50</v>
      </c>
      <c r="D152" s="16"/>
      <c r="E152" s="16"/>
      <c r="F152" s="16"/>
    </row>
    <row r="153" spans="1:6">
      <c r="A153" s="16" t="s">
        <v>128</v>
      </c>
      <c r="B153" s="17">
        <v>1.11111111111111E-9</v>
      </c>
      <c r="C153" s="16" t="s">
        <v>14</v>
      </c>
      <c r="D153" s="16"/>
      <c r="E153" s="16"/>
      <c r="F153" s="16"/>
    </row>
    <row r="154" spans="1:6">
      <c r="A154" s="16" t="s">
        <v>129</v>
      </c>
      <c r="B154" s="17">
        <v>1.6666666666666699E-7</v>
      </c>
      <c r="C154" s="16" t="s">
        <v>14</v>
      </c>
      <c r="D154" s="44"/>
      <c r="E154" s="16"/>
      <c r="F154" s="16"/>
    </row>
    <row r="155" spans="1:6">
      <c r="A155" s="16" t="s">
        <v>130</v>
      </c>
      <c r="B155" s="17">
        <v>4.4444444444444401E-7</v>
      </c>
      <c r="C155" s="16" t="s">
        <v>14</v>
      </c>
      <c r="D155" s="16"/>
      <c r="E155" s="16"/>
      <c r="F155" s="16"/>
    </row>
    <row r="156" spans="1:6">
      <c r="A156" s="17" t="s">
        <v>131</v>
      </c>
      <c r="B156" s="17">
        <v>1.11111111111111E-11</v>
      </c>
      <c r="C156" s="16" t="s">
        <v>14</v>
      </c>
      <c r="D156" s="16"/>
      <c r="E156" s="16"/>
      <c r="F156" s="16"/>
    </row>
    <row r="157" spans="1:6">
      <c r="A157" s="17" t="s">
        <v>132</v>
      </c>
      <c r="B157" s="17">
        <v>7.77777777777778E-7</v>
      </c>
      <c r="C157" s="16" t="s">
        <v>14</v>
      </c>
      <c r="D157" s="16"/>
      <c r="E157" s="16"/>
      <c r="F157" s="16"/>
    </row>
    <row r="158" spans="1:6">
      <c r="A158" s="17" t="s">
        <v>153</v>
      </c>
      <c r="B158" s="16">
        <v>6.22222222222222E-2</v>
      </c>
      <c r="C158" s="16" t="s">
        <v>14</v>
      </c>
      <c r="D158" s="16"/>
      <c r="E158" s="16"/>
      <c r="F158" s="16"/>
    </row>
    <row r="159" spans="1:6">
      <c r="A159" s="17" t="s">
        <v>154</v>
      </c>
      <c r="B159" s="17">
        <v>1.5555555555555599E-5</v>
      </c>
      <c r="C159" s="16" t="s">
        <v>14</v>
      </c>
      <c r="D159" s="16"/>
      <c r="E159" s="16"/>
      <c r="F159" s="16"/>
    </row>
    <row r="160" spans="1:6">
      <c r="A160" s="17" t="s">
        <v>93</v>
      </c>
      <c r="B160" s="17">
        <v>1.11111111111111E-7</v>
      </c>
      <c r="C160" s="16" t="s">
        <v>14</v>
      </c>
      <c r="D160" s="16"/>
      <c r="E160" s="16"/>
      <c r="F160" s="16"/>
    </row>
    <row r="161" spans="1:6">
      <c r="A161" s="16" t="s">
        <v>134</v>
      </c>
      <c r="B161" s="17">
        <v>3.3333333333333298E-17</v>
      </c>
      <c r="C161" s="16" t="s">
        <v>14</v>
      </c>
      <c r="D161" s="16"/>
      <c r="E161" s="16"/>
      <c r="F161" s="17"/>
    </row>
    <row r="162" spans="1:6">
      <c r="A162" s="16" t="s">
        <v>135</v>
      </c>
      <c r="B162" s="17">
        <v>1.11111111111111E-7</v>
      </c>
      <c r="C162" s="16" t="s">
        <v>14</v>
      </c>
      <c r="D162" s="16"/>
      <c r="E162" s="17"/>
      <c r="F162" s="16"/>
    </row>
    <row r="163" spans="1:6">
      <c r="A163" s="17" t="s">
        <v>136</v>
      </c>
      <c r="B163" s="17">
        <v>3.3333333333333302E-11</v>
      </c>
      <c r="C163" s="16" t="s">
        <v>14</v>
      </c>
      <c r="D163" s="16"/>
      <c r="E163" s="16"/>
      <c r="F163" s="16"/>
    </row>
    <row r="164" spans="1:6">
      <c r="A164" s="16" t="s">
        <v>155</v>
      </c>
      <c r="B164" s="17">
        <v>2.22222222222222E-6</v>
      </c>
      <c r="C164" s="16" t="s">
        <v>14</v>
      </c>
      <c r="D164" s="16"/>
      <c r="E164" s="16"/>
      <c r="F164" s="16"/>
    </row>
    <row r="165" spans="1:6">
      <c r="A165" s="16" t="s">
        <v>139</v>
      </c>
      <c r="B165" s="17">
        <v>2.5555555555555602E-5</v>
      </c>
      <c r="C165" s="16" t="s">
        <v>14</v>
      </c>
      <c r="D165" s="16"/>
      <c r="E165" s="16"/>
      <c r="F165" s="16"/>
    </row>
    <row r="166" spans="1:6">
      <c r="A166" s="16" t="s">
        <v>140</v>
      </c>
      <c r="B166" s="17">
        <v>1.11111111111111E-8</v>
      </c>
      <c r="C166" s="16" t="s">
        <v>14</v>
      </c>
      <c r="D166" s="16"/>
      <c r="E166" s="16"/>
      <c r="F166" s="16"/>
    </row>
    <row r="167" spans="1:6">
      <c r="A167" s="16" t="s">
        <v>141</v>
      </c>
      <c r="B167" s="17">
        <v>1.11111111111111E-7</v>
      </c>
      <c r="C167" s="16" t="s">
        <v>14</v>
      </c>
      <c r="D167" s="16"/>
      <c r="E167" s="16"/>
      <c r="F167" s="16"/>
    </row>
    <row r="168" spans="1:6">
      <c r="A168" s="17" t="s">
        <v>142</v>
      </c>
      <c r="B168" s="17">
        <v>1.33333333333333E-6</v>
      </c>
      <c r="C168" s="16" t="s">
        <v>14</v>
      </c>
      <c r="D168" s="16"/>
      <c r="E168" s="16"/>
      <c r="F168" s="16"/>
    </row>
    <row r="169" spans="1:6">
      <c r="A169" s="17" t="s">
        <v>143</v>
      </c>
      <c r="B169" s="17">
        <v>2.2222222222222201E-7</v>
      </c>
      <c r="C169" s="16" t="s">
        <v>14</v>
      </c>
      <c r="D169" s="16"/>
      <c r="E169" s="16"/>
      <c r="F169" s="16"/>
    </row>
    <row r="170" spans="1:6">
      <c r="A170" s="16" t="s">
        <v>144</v>
      </c>
      <c r="B170" s="17">
        <v>2.2222222222222201E-8</v>
      </c>
      <c r="C170" s="16" t="s">
        <v>14</v>
      </c>
      <c r="D170" s="16"/>
      <c r="E170" s="16"/>
      <c r="F170" s="16"/>
    </row>
    <row r="171" spans="1:6">
      <c r="A171" s="16" t="s">
        <v>120</v>
      </c>
      <c r="B171" s="17">
        <v>6.1111111111111095E-7</v>
      </c>
      <c r="C171" s="16" t="s">
        <v>14</v>
      </c>
      <c r="D171" s="16"/>
      <c r="E171" s="16"/>
      <c r="F171" s="16"/>
    </row>
    <row r="172" spans="1:6">
      <c r="A172" s="17" t="s">
        <v>147</v>
      </c>
      <c r="B172" s="17">
        <v>2.2222222222222201E-7</v>
      </c>
      <c r="C172" s="16" t="s">
        <v>14</v>
      </c>
      <c r="D172" s="16"/>
      <c r="E172" s="16"/>
      <c r="F172" s="16"/>
    </row>
    <row r="176" spans="1:6">
      <c r="B176" s="3"/>
    </row>
    <row r="177" spans="1:6">
      <c r="B177" s="3"/>
    </row>
    <row r="178" spans="1:6">
      <c r="B178" s="3"/>
    </row>
    <row r="185" spans="1:6">
      <c r="E185" s="3"/>
      <c r="F185" s="3"/>
    </row>
    <row r="186" spans="1:6">
      <c r="B186" s="3"/>
      <c r="E186" s="3"/>
      <c r="F186" s="3"/>
    </row>
    <row r="187" spans="1:6">
      <c r="B187" s="3"/>
      <c r="C187" s="3"/>
      <c r="E187" s="3"/>
      <c r="F187" s="3"/>
    </row>
    <row r="188" spans="1:6">
      <c r="B188" s="3"/>
      <c r="C188" s="3"/>
      <c r="E188" s="3"/>
      <c r="F188" s="3"/>
    </row>
    <row r="189" spans="1:6">
      <c r="B189" s="3"/>
      <c r="E189" s="3"/>
      <c r="F189" s="3"/>
    </row>
    <row r="190" spans="1:6">
      <c r="B190" s="3"/>
    </row>
    <row r="191" spans="1:6">
      <c r="A191" s="3"/>
    </row>
    <row r="412" spans="4:5" ht="15" thickBot="1"/>
    <row r="413" spans="4:5" ht="16.5" thickTop="1">
      <c r="D413" s="45"/>
      <c r="E413" s="45"/>
    </row>
    <row r="414" spans="4:5" ht="15.75">
      <c r="D414" s="46"/>
      <c r="E414" s="46"/>
    </row>
    <row r="415" spans="4:5" ht="15.75">
      <c r="D415" s="46"/>
      <c r="E415" s="46"/>
    </row>
    <row r="416" spans="4:5" ht="16.5" thickBot="1">
      <c r="D416" s="47"/>
      <c r="E416" s="47"/>
    </row>
    <row r="417" ht="15" thickTop="1"/>
  </sheetData>
  <hyperlinks>
    <hyperlink ref="D46" r:id="rId1" display="https://biogasworld.com/fr/product/gestion-du-digestat/deshydratation-du-digestat/pressoir-rotatif-fournier/" xr:uid="{1CE99349-157E-4340-A930-AA5CCEE6A5F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F6D66-16EF-4604-9C73-D305DF1617B2}">
  <dimension ref="A1:F188"/>
  <sheetViews>
    <sheetView zoomScale="35" zoomScaleNormal="25" workbookViewId="0">
      <selection activeCell="F82" sqref="F74:F82"/>
    </sheetView>
  </sheetViews>
  <sheetFormatPr baseColWidth="10" defaultColWidth="9" defaultRowHeight="14.25"/>
  <cols>
    <col min="1" max="1" width="46.75" customWidth="1"/>
    <col min="2" max="2" width="79" customWidth="1"/>
    <col min="3" max="3" width="21.75" customWidth="1"/>
    <col min="4" max="4" width="28" customWidth="1"/>
    <col min="5" max="5" width="99.75" bestFit="1" customWidth="1"/>
    <col min="6" max="6" width="45.375" customWidth="1"/>
  </cols>
  <sheetData>
    <row r="1" spans="1:6" ht="15">
      <c r="A1" s="6" t="s">
        <v>6</v>
      </c>
      <c r="B1" s="6" t="s">
        <v>7</v>
      </c>
      <c r="C1" s="6" t="s">
        <v>8</v>
      </c>
      <c r="D1" s="6" t="s">
        <v>9</v>
      </c>
      <c r="E1" s="6" t="s">
        <v>10</v>
      </c>
      <c r="F1" s="6" t="s">
        <v>11</v>
      </c>
    </row>
    <row r="3" spans="1:6" ht="15">
      <c r="A3" s="36" t="s">
        <v>159</v>
      </c>
      <c r="B3" s="35"/>
      <c r="C3" s="35"/>
      <c r="D3" s="35"/>
      <c r="E3" s="35"/>
      <c r="F3" s="35"/>
    </row>
    <row r="4" spans="1:6">
      <c r="A4" s="35" t="s">
        <v>160</v>
      </c>
      <c r="B4" s="35">
        <v>1.2210000000000001</v>
      </c>
      <c r="C4" s="35" t="s">
        <v>17</v>
      </c>
      <c r="D4" s="35"/>
      <c r="E4" s="35"/>
      <c r="F4" s="35"/>
    </row>
    <row r="5" spans="1:6">
      <c r="A5" s="42" t="s">
        <v>305</v>
      </c>
      <c r="B5" s="35">
        <v>0.44500000000000001</v>
      </c>
      <c r="C5" s="35"/>
      <c r="D5" s="35" t="s">
        <v>306</v>
      </c>
      <c r="E5" s="35"/>
      <c r="F5" s="35"/>
    </row>
    <row r="6" spans="1:6">
      <c r="A6" s="42" t="s">
        <v>307</v>
      </c>
      <c r="B6" s="35">
        <v>0.52800000000000002</v>
      </c>
      <c r="C6" s="35"/>
      <c r="D6" s="35" t="s">
        <v>306</v>
      </c>
      <c r="E6" s="35"/>
      <c r="F6" s="35"/>
    </row>
    <row r="7" spans="1:6">
      <c r="A7" s="42" t="s">
        <v>308</v>
      </c>
      <c r="B7" s="35">
        <v>2.5999999999999999E-2</v>
      </c>
      <c r="C7" s="35"/>
      <c r="D7" s="35" t="s">
        <v>306</v>
      </c>
      <c r="E7" s="35"/>
      <c r="F7" s="35"/>
    </row>
    <row r="8" spans="1:6">
      <c r="A8" s="42" t="s">
        <v>309</v>
      </c>
      <c r="B8" s="35">
        <v>0.82199999999999995</v>
      </c>
      <c r="C8" s="35"/>
      <c r="D8" s="35" t="s">
        <v>306</v>
      </c>
      <c r="E8" s="35"/>
      <c r="F8" s="35"/>
    </row>
    <row r="9" spans="1:6">
      <c r="A9" s="35" t="s">
        <v>166</v>
      </c>
      <c r="B9" s="35">
        <v>4.3249999999999997E-2</v>
      </c>
      <c r="C9" s="35" t="s">
        <v>14</v>
      </c>
      <c r="D9" s="35" t="s">
        <v>167</v>
      </c>
      <c r="E9" s="35"/>
      <c r="F9" s="35"/>
    </row>
    <row r="10" spans="1:6">
      <c r="A10" s="42" t="s">
        <v>168</v>
      </c>
      <c r="B10" s="35">
        <f>B16/27</f>
        <v>0.76666666666666661</v>
      </c>
      <c r="C10" s="35"/>
      <c r="D10" s="35" t="s">
        <v>169</v>
      </c>
      <c r="E10" s="35" t="s">
        <v>310</v>
      </c>
      <c r="F10" s="35"/>
    </row>
    <row r="11" spans="1:6">
      <c r="A11" s="42" t="s">
        <v>311</v>
      </c>
      <c r="B11" s="35">
        <f>25.4*4</f>
        <v>101.6</v>
      </c>
      <c r="C11" s="35" t="s">
        <v>171</v>
      </c>
      <c r="D11" s="35" t="s">
        <v>312</v>
      </c>
      <c r="E11" s="35"/>
      <c r="F11" s="35"/>
    </row>
    <row r="12" spans="1:6">
      <c r="A12" s="42" t="s">
        <v>313</v>
      </c>
      <c r="B12" s="35">
        <v>0.28039999999999998</v>
      </c>
      <c r="C12" s="35" t="s">
        <v>174</v>
      </c>
      <c r="D12" s="35" t="s">
        <v>314</v>
      </c>
      <c r="E12" s="35"/>
      <c r="F12" s="35"/>
    </row>
    <row r="13" spans="1:6">
      <c r="A13" s="35" t="s">
        <v>22</v>
      </c>
      <c r="B13" s="35">
        <v>1.53579</v>
      </c>
      <c r="C13" s="35" t="s">
        <v>23</v>
      </c>
      <c r="D13" s="35"/>
      <c r="E13" s="35"/>
      <c r="F13" s="35"/>
    </row>
    <row r="14" spans="1:6">
      <c r="A14" s="35" t="s">
        <v>24</v>
      </c>
      <c r="B14" s="35">
        <v>2.513E-2</v>
      </c>
      <c r="C14" s="35" t="s">
        <v>23</v>
      </c>
      <c r="D14" s="35"/>
      <c r="E14" s="35"/>
      <c r="F14" s="35"/>
    </row>
    <row r="15" spans="1:6">
      <c r="A15" s="35" t="s">
        <v>315</v>
      </c>
      <c r="B15" s="35">
        <v>0.85</v>
      </c>
      <c r="C15" s="35"/>
      <c r="D15" s="35"/>
      <c r="E15" s="35"/>
      <c r="F15" s="35"/>
    </row>
    <row r="16" spans="1:6">
      <c r="A16" s="35" t="s">
        <v>316</v>
      </c>
      <c r="B16" s="35">
        <v>20.7</v>
      </c>
      <c r="C16" s="35"/>
      <c r="D16" s="35"/>
      <c r="E16" s="35"/>
      <c r="F16" s="35"/>
    </row>
    <row r="17" spans="1:6">
      <c r="A17" s="35" t="s">
        <v>362</v>
      </c>
      <c r="B17" s="35">
        <f>1.9/100</f>
        <v>1.9E-2</v>
      </c>
      <c r="C17" s="35"/>
      <c r="D17" s="35" t="s">
        <v>172</v>
      </c>
      <c r="E17" s="35"/>
      <c r="F17" s="35"/>
    </row>
    <row r="18" spans="1:6">
      <c r="A18" s="35" t="s">
        <v>363</v>
      </c>
      <c r="B18" s="35">
        <f>6.5/100</f>
        <v>6.5000000000000002E-2</v>
      </c>
      <c r="C18" s="35"/>
      <c r="D18" s="35" t="s">
        <v>172</v>
      </c>
      <c r="E18" s="35"/>
      <c r="F18" s="35"/>
    </row>
    <row r="19" spans="1:6">
      <c r="A19" s="35" t="s">
        <v>364</v>
      </c>
      <c r="B19" s="35">
        <f>1.9/100</f>
        <v>1.9E-2</v>
      </c>
      <c r="C19" s="35"/>
      <c r="D19" s="35" t="s">
        <v>172</v>
      </c>
      <c r="E19" s="35"/>
      <c r="F19" s="35"/>
    </row>
    <row r="20" spans="1:6">
      <c r="A20" s="35" t="s">
        <v>39</v>
      </c>
      <c r="B20" s="35">
        <v>142</v>
      </c>
      <c r="C20" s="35" t="s">
        <v>40</v>
      </c>
      <c r="D20" s="35"/>
      <c r="E20" s="35"/>
      <c r="F20" s="35"/>
    </row>
    <row r="21" spans="1:6">
      <c r="A21" s="35" t="s">
        <v>41</v>
      </c>
      <c r="B21" s="35">
        <f>39*2+16</f>
        <v>94</v>
      </c>
      <c r="C21" s="35" t="s">
        <v>40</v>
      </c>
      <c r="D21" s="35"/>
      <c r="E21" s="35"/>
      <c r="F21" s="35"/>
    </row>
    <row r="23" spans="1:6" ht="15">
      <c r="A23" s="34" t="s">
        <v>178</v>
      </c>
      <c r="B23" s="28"/>
      <c r="C23" s="28"/>
      <c r="D23" s="28"/>
      <c r="E23" s="28"/>
      <c r="F23" s="28"/>
    </row>
    <row r="24" spans="1:6" ht="15">
      <c r="A24" s="27" t="s">
        <v>44</v>
      </c>
      <c r="B24" s="28"/>
      <c r="C24" s="28"/>
      <c r="D24" s="28"/>
      <c r="E24" s="28"/>
      <c r="F24" s="28"/>
    </row>
    <row r="25" spans="1:6">
      <c r="A25" s="28" t="s">
        <v>45</v>
      </c>
      <c r="B25" s="28">
        <v>1</v>
      </c>
      <c r="C25" s="28" t="s">
        <v>46</v>
      </c>
      <c r="D25" s="28"/>
      <c r="E25" s="28"/>
      <c r="F25" s="28"/>
    </row>
    <row r="26" spans="1:6">
      <c r="A26" s="28" t="s">
        <v>47</v>
      </c>
      <c r="B26" s="28">
        <v>0.15650723831737146</v>
      </c>
      <c r="C26" s="28" t="s">
        <v>46</v>
      </c>
      <c r="D26" s="28"/>
      <c r="E26" s="28"/>
      <c r="F26" s="28"/>
    </row>
    <row r="27" spans="1:6">
      <c r="A27" s="28" t="s">
        <v>48</v>
      </c>
      <c r="B27" s="28">
        <v>1</v>
      </c>
      <c r="C27" s="28" t="s">
        <v>46</v>
      </c>
      <c r="D27" s="28"/>
      <c r="E27" s="28"/>
      <c r="F27" s="28"/>
    </row>
    <row r="28" spans="1:6">
      <c r="A28" s="28" t="s">
        <v>49</v>
      </c>
      <c r="B28" s="28">
        <v>6.2279044296606232</v>
      </c>
      <c r="C28" s="28" t="s">
        <v>46</v>
      </c>
      <c r="D28" s="28"/>
      <c r="E28" s="28"/>
      <c r="F28" s="28"/>
    </row>
    <row r="29" spans="1:6">
      <c r="A29" s="28" t="s">
        <v>51</v>
      </c>
      <c r="B29" s="28">
        <v>-6.2279044296606232</v>
      </c>
      <c r="C29" s="28" t="s">
        <v>50</v>
      </c>
      <c r="D29" s="28"/>
      <c r="E29" s="28"/>
      <c r="F29" s="28" t="s">
        <v>52</v>
      </c>
    </row>
    <row r="30" spans="1:6">
      <c r="A30" s="28" t="s">
        <v>53</v>
      </c>
      <c r="B30" s="28">
        <v>1</v>
      </c>
      <c r="C30" s="28" t="s">
        <v>46</v>
      </c>
      <c r="D30" s="28"/>
      <c r="E30" s="28"/>
      <c r="F30" s="28"/>
    </row>
    <row r="31" spans="1:6">
      <c r="A31" s="28" t="s">
        <v>179</v>
      </c>
      <c r="B31" s="28">
        <v>1</v>
      </c>
      <c r="C31" s="28" t="s">
        <v>46</v>
      </c>
      <c r="D31" s="28"/>
      <c r="E31" s="28"/>
      <c r="F31" s="28"/>
    </row>
    <row r="32" spans="1:6">
      <c r="A32" s="28" t="s">
        <v>180</v>
      </c>
      <c r="B32" s="28">
        <v>1</v>
      </c>
      <c r="C32" s="28" t="s">
        <v>46</v>
      </c>
      <c r="D32" s="28"/>
      <c r="E32" s="28"/>
      <c r="F32" s="28"/>
    </row>
    <row r="33" spans="1:6">
      <c r="A33" s="28" t="s">
        <v>184</v>
      </c>
      <c r="B33" s="28">
        <v>1</v>
      </c>
      <c r="C33" s="28" t="s">
        <v>46</v>
      </c>
      <c r="D33" s="28"/>
      <c r="E33" s="28"/>
      <c r="F33" s="28"/>
    </row>
    <row r="34" spans="1:6">
      <c r="A34" s="28" t="s">
        <v>185</v>
      </c>
      <c r="B34" s="29">
        <f>(B66/1000)/B13</f>
        <v>9.735496836728981E-3</v>
      </c>
      <c r="C34" s="28" t="s">
        <v>46</v>
      </c>
      <c r="D34" s="28"/>
      <c r="E34" s="28"/>
      <c r="F34" s="28"/>
    </row>
    <row r="35" spans="1:6">
      <c r="A35" s="28" t="s">
        <v>186</v>
      </c>
      <c r="B35" s="29">
        <f>B34/B14</f>
        <v>0.3874053655682046</v>
      </c>
      <c r="C35" s="28" t="s">
        <v>46</v>
      </c>
      <c r="D35" s="28"/>
      <c r="E35" s="28"/>
      <c r="F35" s="28"/>
    </row>
    <row r="36" spans="1:6">
      <c r="A36" s="28" t="s">
        <v>366</v>
      </c>
      <c r="B36" s="29">
        <f>-B35</f>
        <v>-0.3874053655682046</v>
      </c>
      <c r="C36" s="28" t="s">
        <v>50</v>
      </c>
      <c r="D36" s="28"/>
      <c r="E36" s="28"/>
      <c r="F36" s="28" t="s">
        <v>52</v>
      </c>
    </row>
    <row r="37" spans="1:6">
      <c r="A37" s="28"/>
      <c r="B37" s="28"/>
      <c r="C37" s="28"/>
      <c r="D37" s="28"/>
      <c r="E37" s="28"/>
      <c r="F37" s="28"/>
    </row>
    <row r="38" spans="1:6" ht="15">
      <c r="A38" s="27" t="s">
        <v>61</v>
      </c>
      <c r="B38" s="28"/>
      <c r="C38" s="28"/>
      <c r="D38" s="28"/>
      <c r="E38" s="28"/>
      <c r="F38" s="28"/>
    </row>
    <row r="39" spans="1:6">
      <c r="A39" s="28" t="s">
        <v>62</v>
      </c>
      <c r="B39" s="28">
        <v>1</v>
      </c>
      <c r="C39" s="28" t="s">
        <v>14</v>
      </c>
      <c r="D39" s="28"/>
      <c r="E39" s="28"/>
      <c r="F39" s="28"/>
    </row>
    <row r="41" spans="1:6" ht="15">
      <c r="A41" s="1" t="s">
        <v>317</v>
      </c>
    </row>
    <row r="43" spans="1:6">
      <c r="A43" s="19" t="s">
        <v>318</v>
      </c>
      <c r="B43" s="20">
        <v>0.50700000000000001</v>
      </c>
      <c r="C43" s="19" t="s">
        <v>14</v>
      </c>
      <c r="D43" s="19"/>
      <c r="E43" s="19"/>
      <c r="F43" s="19"/>
    </row>
    <row r="44" spans="1:6">
      <c r="A44" s="2" t="s">
        <v>319</v>
      </c>
      <c r="B44" s="5">
        <f>B43*(1-B15)</f>
        <v>7.6050000000000006E-2</v>
      </c>
      <c r="C44" s="2" t="s">
        <v>14</v>
      </c>
      <c r="D44" s="19"/>
      <c r="E44" s="19" t="s">
        <v>320</v>
      </c>
      <c r="F44" s="19"/>
    </row>
    <row r="46" spans="1:6" ht="15">
      <c r="A46" s="15" t="s">
        <v>195</v>
      </c>
      <c r="B46" s="16"/>
      <c r="C46" s="16"/>
      <c r="D46" s="16"/>
      <c r="E46" s="16"/>
      <c r="F46" s="16"/>
    </row>
    <row r="47" spans="1:6" ht="15">
      <c r="A47" s="15" t="s">
        <v>44</v>
      </c>
      <c r="B47" s="16"/>
      <c r="C47" s="16"/>
      <c r="D47" s="16"/>
      <c r="E47" s="16"/>
      <c r="F47" s="16"/>
    </row>
    <row r="48" spans="1:6">
      <c r="A48" s="16" t="s">
        <v>64</v>
      </c>
      <c r="B48" s="17">
        <f>0.3*B43</f>
        <v>0.15209999999999999</v>
      </c>
      <c r="C48" s="16" t="s">
        <v>65</v>
      </c>
      <c r="D48" s="16"/>
      <c r="E48" s="16" t="s">
        <v>321</v>
      </c>
      <c r="F48" s="16" t="s">
        <v>68</v>
      </c>
    </row>
    <row r="49" spans="1:6">
      <c r="A49" s="16" t="s">
        <v>99</v>
      </c>
      <c r="B49" s="17">
        <v>2.2222222222222223E-5</v>
      </c>
      <c r="C49" s="16" t="s">
        <v>70</v>
      </c>
      <c r="D49" s="16"/>
      <c r="E49" s="16" t="s">
        <v>198</v>
      </c>
      <c r="F49" s="16" t="s">
        <v>72</v>
      </c>
    </row>
    <row r="50" spans="1:6">
      <c r="A50" s="16"/>
      <c r="B50" s="16"/>
      <c r="C50" s="16"/>
      <c r="D50" s="16"/>
      <c r="E50" s="16"/>
      <c r="F50" s="16"/>
    </row>
    <row r="51" spans="1:6" ht="15">
      <c r="A51" s="15" t="s">
        <v>61</v>
      </c>
      <c r="B51" s="16"/>
      <c r="C51" s="16"/>
      <c r="D51" s="16"/>
      <c r="E51" s="16"/>
      <c r="F51" s="16"/>
    </row>
    <row r="52" spans="1:6">
      <c r="A52" s="16" t="s">
        <v>202</v>
      </c>
      <c r="B52" s="16">
        <v>1</v>
      </c>
      <c r="C52" s="16" t="s">
        <v>46</v>
      </c>
      <c r="D52" s="16"/>
      <c r="E52" s="16"/>
      <c r="F52" s="16"/>
    </row>
    <row r="53" spans="1:6">
      <c r="A53" s="16" t="s">
        <v>203</v>
      </c>
      <c r="B53" s="17">
        <f>B44*B5/(1-B8)</f>
        <v>0.19012499999999996</v>
      </c>
      <c r="C53" s="16" t="s">
        <v>14</v>
      </c>
      <c r="D53" s="16"/>
      <c r="E53" s="16"/>
      <c r="F53" s="16"/>
    </row>
    <row r="54" spans="1:6">
      <c r="A54" s="16" t="s">
        <v>204</v>
      </c>
      <c r="B54" s="17">
        <f>(B43)-(B53+B55+B56)</f>
        <v>0.31489770000000006</v>
      </c>
      <c r="C54" s="16" t="s">
        <v>14</v>
      </c>
      <c r="D54" s="16"/>
      <c r="E54" s="16"/>
      <c r="F54" s="16"/>
    </row>
    <row r="55" spans="1:6">
      <c r="A55" s="16" t="s">
        <v>92</v>
      </c>
      <c r="B55" s="17">
        <f>B44*B7*0.95</f>
        <v>1.8784349999999999E-3</v>
      </c>
      <c r="C55" s="16" t="s">
        <v>14</v>
      </c>
      <c r="D55" s="16"/>
      <c r="E55" s="16" t="s">
        <v>205</v>
      </c>
      <c r="F55" s="16"/>
    </row>
    <row r="56" spans="1:6">
      <c r="A56" s="16" t="s">
        <v>133</v>
      </c>
      <c r="B56" s="17">
        <f>B44*B7*0.05</f>
        <v>9.886500000000001E-5</v>
      </c>
      <c r="C56" s="16" t="s">
        <v>14</v>
      </c>
      <c r="D56" s="16"/>
      <c r="E56" s="16"/>
      <c r="F56" s="16"/>
    </row>
    <row r="58" spans="1:6" ht="15">
      <c r="A58" s="27" t="s">
        <v>184</v>
      </c>
      <c r="B58" s="39" t="s">
        <v>80</v>
      </c>
      <c r="C58" s="29">
        <v>1</v>
      </c>
      <c r="D58" s="28"/>
      <c r="E58" s="28" t="s">
        <v>286</v>
      </c>
      <c r="F58" s="28"/>
    </row>
    <row r="59" spans="1:6" ht="15">
      <c r="A59" s="27" t="s">
        <v>44</v>
      </c>
      <c r="B59" s="28"/>
      <c r="C59" s="28"/>
      <c r="D59" s="28"/>
      <c r="E59" s="28"/>
      <c r="F59" s="28"/>
    </row>
    <row r="60" spans="1:6">
      <c r="A60" s="28" t="s">
        <v>287</v>
      </c>
      <c r="B60" s="28">
        <v>0</v>
      </c>
      <c r="C60" s="28" t="s">
        <v>73</v>
      </c>
      <c r="D60" s="28"/>
      <c r="E60" s="28"/>
      <c r="F60" s="28" t="s">
        <v>84</v>
      </c>
    </row>
    <row r="61" spans="1:6">
      <c r="A61" s="28" t="s">
        <v>85</v>
      </c>
      <c r="B61" s="28">
        <v>0</v>
      </c>
      <c r="C61" s="28" t="s">
        <v>65</v>
      </c>
      <c r="D61" s="28"/>
      <c r="E61" s="28"/>
      <c r="F61" s="28" t="s">
        <v>68</v>
      </c>
    </row>
    <row r="62" spans="1:6">
      <c r="A62" s="28" t="s">
        <v>288</v>
      </c>
      <c r="B62" s="28">
        <v>0</v>
      </c>
      <c r="C62" s="28" t="s">
        <v>50</v>
      </c>
      <c r="D62" s="28"/>
      <c r="E62" s="28"/>
      <c r="F62" s="28" t="s">
        <v>88</v>
      </c>
    </row>
    <row r="63" spans="1:6">
      <c r="A63" s="28"/>
      <c r="B63" s="28"/>
      <c r="C63" s="28"/>
      <c r="D63" s="28"/>
      <c r="E63" s="28"/>
      <c r="F63" s="28"/>
    </row>
    <row r="64" spans="1:6" ht="15">
      <c r="A64" s="27" t="s">
        <v>76</v>
      </c>
      <c r="B64" s="28"/>
      <c r="C64" s="28"/>
      <c r="D64" s="28"/>
      <c r="E64" s="28"/>
      <c r="F64" s="28"/>
    </row>
    <row r="65" spans="1:6">
      <c r="A65" s="28" t="s">
        <v>45</v>
      </c>
      <c r="B65" s="28">
        <v>1</v>
      </c>
      <c r="C65" s="28" t="s">
        <v>73</v>
      </c>
      <c r="D65" s="28"/>
      <c r="E65" s="28"/>
      <c r="F65" s="28"/>
    </row>
    <row r="66" spans="1:6">
      <c r="A66" s="28" t="s">
        <v>289</v>
      </c>
      <c r="B66" s="29">
        <f>B12*B11*B54/0.6</f>
        <v>14.951678686880001</v>
      </c>
      <c r="C66" s="28" t="s">
        <v>290</v>
      </c>
      <c r="D66" s="28"/>
      <c r="E66" s="28"/>
      <c r="F66" s="28"/>
    </row>
    <row r="67" spans="1:6">
      <c r="A67" s="28" t="s">
        <v>291</v>
      </c>
      <c r="B67" s="37">
        <f>B54-B80</f>
        <v>0.29675286366250686</v>
      </c>
      <c r="C67" s="28" t="s">
        <v>14</v>
      </c>
      <c r="D67" s="28"/>
      <c r="E67" s="28"/>
      <c r="F67" s="28" t="s">
        <v>104</v>
      </c>
    </row>
    <row r="68" spans="1:6">
      <c r="A68" s="28" t="s">
        <v>91</v>
      </c>
      <c r="B68" s="28">
        <v>0</v>
      </c>
      <c r="C68" s="29" t="s">
        <v>14</v>
      </c>
      <c r="D68" s="28"/>
      <c r="E68" s="28"/>
      <c r="F68" s="28"/>
    </row>
    <row r="69" spans="1:6">
      <c r="A69" s="28" t="s">
        <v>92</v>
      </c>
      <c r="B69" s="28">
        <v>0</v>
      </c>
      <c r="C69" s="29" t="s">
        <v>14</v>
      </c>
      <c r="D69" s="28"/>
      <c r="E69" s="28"/>
      <c r="F69" s="28"/>
    </row>
    <row r="70" spans="1:6">
      <c r="A70" s="28" t="s">
        <v>93</v>
      </c>
      <c r="B70" s="28">
        <v>0</v>
      </c>
      <c r="C70" s="29" t="s">
        <v>14</v>
      </c>
      <c r="D70" s="28"/>
      <c r="E70" s="28"/>
      <c r="F70" s="28"/>
    </row>
    <row r="71" spans="1:6">
      <c r="A71" s="28" t="s">
        <v>94</v>
      </c>
      <c r="B71" s="28">
        <v>0</v>
      </c>
      <c r="C71" s="29" t="s">
        <v>14</v>
      </c>
      <c r="D71" s="28"/>
      <c r="E71" s="28"/>
      <c r="F71" s="28"/>
    </row>
    <row r="72" spans="1:6">
      <c r="A72" s="28" t="s">
        <v>95</v>
      </c>
      <c r="B72" s="28">
        <v>0</v>
      </c>
      <c r="C72" s="29" t="s">
        <v>14</v>
      </c>
      <c r="D72" s="28"/>
      <c r="E72" s="28"/>
      <c r="F72" s="28"/>
    </row>
    <row r="74" spans="1:6" ht="15">
      <c r="A74" s="4" t="s">
        <v>293</v>
      </c>
      <c r="B74" s="2"/>
      <c r="C74" s="2"/>
      <c r="D74" s="2"/>
      <c r="E74" s="2"/>
      <c r="F74" s="2"/>
    </row>
    <row r="75" spans="1:6">
      <c r="A75" s="5" t="s">
        <v>323</v>
      </c>
      <c r="B75" s="5">
        <f>B12*B11*B54/0.6</f>
        <v>14.951678686880001</v>
      </c>
      <c r="C75" s="5" t="s">
        <v>295</v>
      </c>
      <c r="D75" s="2"/>
      <c r="E75" s="2"/>
      <c r="F75" s="2"/>
    </row>
    <row r="76" spans="1:6">
      <c r="A76" s="2" t="s">
        <v>296</v>
      </c>
      <c r="B76" s="2"/>
      <c r="C76" s="2"/>
      <c r="D76" s="2"/>
      <c r="E76" s="5"/>
      <c r="F76" s="2"/>
    </row>
    <row r="77" spans="1:6">
      <c r="A77" s="2" t="s">
        <v>297</v>
      </c>
      <c r="B77" s="5">
        <f>B54</f>
        <v>0.31489770000000006</v>
      </c>
      <c r="C77" s="5" t="s">
        <v>14</v>
      </c>
      <c r="D77" s="5"/>
      <c r="E77" s="5"/>
      <c r="F77" s="2"/>
    </row>
    <row r="78" spans="1:6">
      <c r="A78" s="2" t="s">
        <v>298</v>
      </c>
      <c r="B78" s="5">
        <f>(1*B66)/(0.0821*273)</f>
        <v>0.66708957123136703</v>
      </c>
      <c r="C78" s="2"/>
      <c r="D78" s="5"/>
      <c r="E78" s="5"/>
      <c r="F78" s="2"/>
    </row>
    <row r="79" spans="1:6">
      <c r="A79" s="2" t="s">
        <v>299</v>
      </c>
      <c r="B79" s="2">
        <f>16*0.6+44*0.4</f>
        <v>27.200000000000003</v>
      </c>
      <c r="C79" s="2" t="s">
        <v>40</v>
      </c>
      <c r="D79" s="2"/>
      <c r="E79" s="2"/>
      <c r="F79" s="2"/>
    </row>
    <row r="80" spans="1:6">
      <c r="A80" s="2" t="s">
        <v>300</v>
      </c>
      <c r="B80" s="5">
        <f>B79*B78/1000</f>
        <v>1.8144836337493184E-2</v>
      </c>
      <c r="C80" s="2" t="s">
        <v>14</v>
      </c>
      <c r="D80" s="2"/>
      <c r="E80" s="2"/>
      <c r="F80" s="2"/>
    </row>
    <row r="81" spans="1:6" ht="20.25">
      <c r="A81" s="2" t="s">
        <v>301</v>
      </c>
      <c r="B81" s="5">
        <f>B77-B80</f>
        <v>0.29675286366250686</v>
      </c>
      <c r="C81" s="2" t="s">
        <v>14</v>
      </c>
      <c r="D81" s="2"/>
      <c r="E81" s="40"/>
      <c r="F81" s="2"/>
    </row>
    <row r="82" spans="1:6">
      <c r="A82" s="2" t="s">
        <v>302</v>
      </c>
      <c r="B82" s="5">
        <f>(B54)/(B80/B4)</f>
        <v>21.190055647154967</v>
      </c>
      <c r="C82" s="2" t="s">
        <v>14</v>
      </c>
      <c r="D82" s="2"/>
      <c r="E82" s="2"/>
      <c r="F82" s="2"/>
    </row>
    <row r="84" spans="1:6" ht="15">
      <c r="A84" s="33" t="s">
        <v>303</v>
      </c>
      <c r="B84" s="24"/>
      <c r="C84" s="25"/>
      <c r="D84" s="24" t="s">
        <v>108</v>
      </c>
      <c r="E84" s="25"/>
      <c r="F84" s="25"/>
    </row>
    <row r="85" spans="1:6" ht="15">
      <c r="A85" s="24" t="s">
        <v>44</v>
      </c>
      <c r="B85" s="25"/>
      <c r="C85" s="25"/>
      <c r="D85" s="25"/>
      <c r="E85" s="25"/>
      <c r="F85" s="25"/>
    </row>
    <row r="86" spans="1:6">
      <c r="A86" s="25" t="s">
        <v>109</v>
      </c>
      <c r="B86" s="26">
        <v>2.0799999999999999E-4</v>
      </c>
      <c r="C86" s="25" t="s">
        <v>14</v>
      </c>
      <c r="D86" s="25"/>
      <c r="E86" s="25"/>
      <c r="F86" s="25" t="s">
        <v>110</v>
      </c>
    </row>
    <row r="87" spans="1:6">
      <c r="A87" s="25" t="s">
        <v>111</v>
      </c>
      <c r="B87" s="26">
        <v>5.4000000000000001E-11</v>
      </c>
      <c r="C87" s="25" t="s">
        <v>46</v>
      </c>
      <c r="D87" s="25"/>
      <c r="E87" s="25"/>
      <c r="F87" s="25" t="s">
        <v>112</v>
      </c>
    </row>
    <row r="88" spans="1:6">
      <c r="A88" s="25" t="s">
        <v>85</v>
      </c>
      <c r="B88" s="25">
        <v>0.18562874251497</v>
      </c>
      <c r="C88" s="25" t="s">
        <v>86</v>
      </c>
      <c r="D88" s="25"/>
      <c r="E88" s="25"/>
      <c r="F88" s="25" t="s">
        <v>68</v>
      </c>
    </row>
    <row r="89" spans="1:6">
      <c r="A89" s="25" t="s">
        <v>113</v>
      </c>
      <c r="B89" s="26">
        <v>1.4999999999999999E-4</v>
      </c>
      <c r="C89" s="25" t="s">
        <v>14</v>
      </c>
      <c r="D89" s="25"/>
      <c r="E89" s="25"/>
      <c r="F89" s="25" t="s">
        <v>114</v>
      </c>
    </row>
    <row r="90" spans="1:6">
      <c r="A90" s="25" t="s">
        <v>115</v>
      </c>
      <c r="B90" s="26">
        <v>3.98E-6</v>
      </c>
      <c r="C90" s="25" t="s">
        <v>14</v>
      </c>
      <c r="D90" s="25"/>
      <c r="E90" s="25"/>
      <c r="F90" s="25" t="s">
        <v>116</v>
      </c>
    </row>
    <row r="91" spans="1:6">
      <c r="A91" s="25"/>
      <c r="B91" s="25"/>
      <c r="C91" s="25"/>
      <c r="D91" s="25"/>
      <c r="E91" s="25"/>
      <c r="F91" s="25"/>
    </row>
    <row r="92" spans="1:6" ht="15">
      <c r="A92" s="24" t="s">
        <v>61</v>
      </c>
      <c r="B92" s="25"/>
      <c r="C92" s="25"/>
      <c r="D92" s="25"/>
      <c r="E92" s="25"/>
      <c r="F92" s="25"/>
    </row>
    <row r="93" spans="1:6">
      <c r="A93" s="25" t="s">
        <v>47</v>
      </c>
      <c r="B93" s="25">
        <v>1</v>
      </c>
      <c r="C93" s="25" t="s">
        <v>46</v>
      </c>
      <c r="D93" s="25"/>
      <c r="E93" s="25"/>
      <c r="F93" s="25"/>
    </row>
    <row r="94" spans="1:6">
      <c r="A94" s="25" t="s">
        <v>117</v>
      </c>
      <c r="B94" s="25">
        <v>1</v>
      </c>
      <c r="C94" s="25" t="s">
        <v>23</v>
      </c>
      <c r="D94" s="25"/>
      <c r="E94" s="25"/>
      <c r="F94" s="25"/>
    </row>
    <row r="95" spans="1:6">
      <c r="A95" s="25" t="s">
        <v>92</v>
      </c>
      <c r="B95" s="26">
        <v>0.97457000000000005</v>
      </c>
      <c r="C95" s="25" t="s">
        <v>14</v>
      </c>
      <c r="D95" s="25"/>
      <c r="E95" s="25"/>
      <c r="F95" s="25"/>
    </row>
    <row r="96" spans="1:6">
      <c r="A96" s="25" t="s">
        <v>118</v>
      </c>
      <c r="B96" s="26">
        <v>1.28</v>
      </c>
      <c r="C96" s="25" t="s">
        <v>50</v>
      </c>
      <c r="D96" s="25"/>
      <c r="E96" s="25"/>
      <c r="F96" s="25"/>
    </row>
    <row r="97" spans="1:6">
      <c r="A97" s="25" t="s">
        <v>94</v>
      </c>
      <c r="B97" s="26">
        <v>6.7000000000000002E-6</v>
      </c>
      <c r="C97" s="25" t="s">
        <v>14</v>
      </c>
      <c r="D97" s="25"/>
      <c r="E97" s="25"/>
      <c r="F97" s="25"/>
    </row>
    <row r="98" spans="1:6">
      <c r="A98" s="25" t="s">
        <v>95</v>
      </c>
      <c r="B98" s="25">
        <v>8.6E-3</v>
      </c>
      <c r="C98" s="25" t="s">
        <v>14</v>
      </c>
      <c r="D98" s="25"/>
      <c r="E98" s="25"/>
      <c r="F98" s="25"/>
    </row>
    <row r="99" spans="1:6">
      <c r="A99" s="25" t="s">
        <v>119</v>
      </c>
      <c r="B99" s="25">
        <v>4.8779999999999997E-2</v>
      </c>
      <c r="C99" s="25" t="s">
        <v>14</v>
      </c>
      <c r="D99" s="25"/>
      <c r="E99" s="25"/>
      <c r="F99" s="25"/>
    </row>
    <row r="100" spans="1:6">
      <c r="A100" s="25" t="s">
        <v>120</v>
      </c>
      <c r="B100" s="26">
        <v>6.5989999999999998E-6</v>
      </c>
      <c r="C100" s="25" t="s">
        <v>14</v>
      </c>
      <c r="D100" s="25"/>
      <c r="E100" s="25"/>
      <c r="F100" s="25"/>
    </row>
    <row r="102" spans="1:6" ht="15">
      <c r="A102" s="34" t="s">
        <v>186</v>
      </c>
      <c r="B102" s="28"/>
      <c r="C102" s="28"/>
      <c r="D102" s="27" t="s">
        <v>121</v>
      </c>
      <c r="E102" s="28"/>
      <c r="F102" s="28"/>
    </row>
    <row r="103" spans="1:6" ht="15">
      <c r="A103" s="27" t="s">
        <v>44</v>
      </c>
      <c r="B103" s="28"/>
      <c r="C103" s="28"/>
      <c r="D103" s="28"/>
      <c r="E103" s="28"/>
      <c r="F103" s="28"/>
    </row>
    <row r="104" spans="1:6">
      <c r="A104" s="28" t="s">
        <v>85</v>
      </c>
      <c r="B104" s="28">
        <v>2.7244000000000001E-3</v>
      </c>
      <c r="C104" s="28" t="s">
        <v>86</v>
      </c>
      <c r="D104" s="28"/>
      <c r="E104" s="28"/>
      <c r="F104" s="28" t="s">
        <v>68</v>
      </c>
    </row>
    <row r="105" spans="1:6">
      <c r="A105" s="28" t="s">
        <v>122</v>
      </c>
      <c r="B105" s="29">
        <v>6.4679999999999999E-7</v>
      </c>
      <c r="C105" s="28" t="s">
        <v>46</v>
      </c>
      <c r="D105" s="28"/>
      <c r="E105" s="28"/>
      <c r="F105" s="28" t="s">
        <v>123</v>
      </c>
    </row>
    <row r="106" spans="1:6">
      <c r="A106" s="28"/>
      <c r="B106" s="28"/>
      <c r="C106" s="28"/>
      <c r="D106" s="28"/>
      <c r="E106" s="28"/>
      <c r="F106" s="28"/>
    </row>
    <row r="107" spans="1:6" ht="15">
      <c r="A107" s="27" t="s">
        <v>61</v>
      </c>
      <c r="B107" s="28"/>
      <c r="C107" s="28"/>
      <c r="D107" s="28"/>
      <c r="E107" s="28"/>
      <c r="F107" s="28"/>
    </row>
    <row r="108" spans="1:6">
      <c r="A108" s="28" t="s">
        <v>124</v>
      </c>
      <c r="B108" s="28">
        <v>1</v>
      </c>
      <c r="C108" s="28" t="s">
        <v>46</v>
      </c>
      <c r="D108" s="28"/>
      <c r="E108" s="28"/>
      <c r="F108" s="28"/>
    </row>
    <row r="109" spans="1:6">
      <c r="A109" s="28" t="s">
        <v>125</v>
      </c>
      <c r="B109" s="28">
        <v>0</v>
      </c>
      <c r="C109" s="28" t="s">
        <v>50</v>
      </c>
      <c r="D109" s="28"/>
      <c r="E109" s="28" t="s">
        <v>126</v>
      </c>
      <c r="F109" s="28"/>
    </row>
    <row r="110" spans="1:6">
      <c r="A110" s="28" t="s">
        <v>128</v>
      </c>
      <c r="B110" s="29">
        <v>9.7999999999999992E-10</v>
      </c>
      <c r="C110" s="28" t="s">
        <v>14</v>
      </c>
      <c r="D110" s="28"/>
      <c r="E110" s="28"/>
      <c r="F110" s="28"/>
    </row>
    <row r="111" spans="1:6">
      <c r="A111" s="28" t="s">
        <v>129</v>
      </c>
      <c r="B111" s="29">
        <v>1.4700000000000001E-7</v>
      </c>
      <c r="C111" s="28" t="s">
        <v>14</v>
      </c>
      <c r="D111" s="28"/>
      <c r="E111" s="28"/>
      <c r="F111" s="28"/>
    </row>
    <row r="112" spans="1:6">
      <c r="A112" s="28" t="s">
        <v>130</v>
      </c>
      <c r="B112" s="29">
        <v>3.9200000000000002E-7</v>
      </c>
      <c r="C112" s="28" t="s">
        <v>14</v>
      </c>
      <c r="D112" s="28"/>
      <c r="E112" s="28"/>
      <c r="F112" s="28"/>
    </row>
    <row r="113" spans="1:6">
      <c r="A113" s="28" t="s">
        <v>131</v>
      </c>
      <c r="B113" s="29">
        <v>9.7999999999999994E-12</v>
      </c>
      <c r="C113" s="28" t="s">
        <v>14</v>
      </c>
      <c r="D113" s="28"/>
      <c r="E113" s="28"/>
      <c r="F113" s="28"/>
    </row>
    <row r="114" spans="1:6">
      <c r="A114" s="28" t="s">
        <v>132</v>
      </c>
      <c r="B114" s="29">
        <v>6.8599999999999998E-7</v>
      </c>
      <c r="C114" s="28" t="s">
        <v>14</v>
      </c>
      <c r="D114" s="28"/>
      <c r="E114" s="28"/>
      <c r="F114" s="28"/>
    </row>
    <row r="115" spans="1:6">
      <c r="A115" s="28" t="s">
        <v>92</v>
      </c>
      <c r="B115" s="28">
        <v>5.4879999999999998E-2</v>
      </c>
      <c r="C115" s="28" t="s">
        <v>14</v>
      </c>
      <c r="D115" s="28"/>
      <c r="E115" s="28"/>
      <c r="F115" s="28"/>
    </row>
    <row r="116" spans="1:6">
      <c r="A116" s="28" t="s">
        <v>133</v>
      </c>
      <c r="B116" s="29">
        <v>5.7819999999999999E-6</v>
      </c>
      <c r="C116" s="28" t="s">
        <v>14</v>
      </c>
      <c r="D116" s="28"/>
      <c r="E116" s="28"/>
      <c r="F116" s="28"/>
    </row>
    <row r="117" spans="1:6">
      <c r="A117" s="28" t="s">
        <v>93</v>
      </c>
      <c r="B117" s="29">
        <v>4.8999999999999997E-7</v>
      </c>
      <c r="C117" s="28" t="s">
        <v>14</v>
      </c>
      <c r="D117" s="28"/>
      <c r="E117" s="28"/>
      <c r="F117" s="28"/>
    </row>
    <row r="118" spans="1:6">
      <c r="A118" s="28" t="s">
        <v>134</v>
      </c>
      <c r="B118" s="29">
        <v>2.9400000000000001E-17</v>
      </c>
      <c r="C118" s="28" t="s">
        <v>14</v>
      </c>
      <c r="D118" s="28"/>
      <c r="E118" s="28"/>
      <c r="F118" s="28"/>
    </row>
    <row r="119" spans="1:6">
      <c r="A119" s="28" t="s">
        <v>135</v>
      </c>
      <c r="B119" s="29">
        <v>9.8000000000000004E-8</v>
      </c>
      <c r="C119" s="28" t="s">
        <v>14</v>
      </c>
      <c r="D119" s="28"/>
      <c r="E119" s="28"/>
      <c r="F119" s="28"/>
    </row>
    <row r="120" spans="1:6">
      <c r="A120" s="28" t="s">
        <v>136</v>
      </c>
      <c r="B120" s="29">
        <v>2.9400000000000003E-11</v>
      </c>
      <c r="C120" s="28" t="s">
        <v>14</v>
      </c>
      <c r="D120" s="28"/>
      <c r="E120" s="28"/>
      <c r="F120" s="28"/>
    </row>
    <row r="121" spans="1:6">
      <c r="A121" s="28" t="s">
        <v>95</v>
      </c>
      <c r="B121" s="29">
        <v>1.9599999999999999E-6</v>
      </c>
      <c r="C121" s="28" t="s">
        <v>14</v>
      </c>
      <c r="D121" s="28"/>
      <c r="E121" s="28"/>
      <c r="F121" s="28"/>
    </row>
    <row r="122" spans="1:6">
      <c r="A122" s="28" t="s">
        <v>137</v>
      </c>
      <c r="B122" s="29">
        <v>1.2739999999999999E-7</v>
      </c>
      <c r="C122" s="28" t="s">
        <v>14</v>
      </c>
      <c r="D122" s="28"/>
      <c r="E122" s="28"/>
      <c r="F122" s="28"/>
    </row>
    <row r="123" spans="1:6">
      <c r="A123" s="28" t="s">
        <v>138</v>
      </c>
      <c r="B123" s="29">
        <v>2.9400000000000002E-9</v>
      </c>
      <c r="C123" s="28" t="s">
        <v>14</v>
      </c>
      <c r="D123" s="28"/>
      <c r="E123" s="28"/>
      <c r="F123" s="28"/>
    </row>
    <row r="124" spans="1:6">
      <c r="A124" s="28" t="s">
        <v>139</v>
      </c>
      <c r="B124" s="29">
        <v>9.7019999999999996E-6</v>
      </c>
      <c r="C124" s="28" t="s">
        <v>14</v>
      </c>
      <c r="D124" s="28"/>
      <c r="E124" s="28"/>
      <c r="F124" s="28"/>
    </row>
    <row r="125" spans="1:6">
      <c r="A125" s="28" t="s">
        <v>140</v>
      </c>
      <c r="B125" s="29">
        <v>9.8000000000000001E-9</v>
      </c>
      <c r="C125" s="28" t="s">
        <v>14</v>
      </c>
      <c r="D125" s="28"/>
      <c r="E125" s="28"/>
      <c r="F125" s="28"/>
    </row>
    <row r="126" spans="1:6">
      <c r="A126" s="28" t="s">
        <v>141</v>
      </c>
      <c r="B126" s="29">
        <v>9.8000000000000004E-8</v>
      </c>
      <c r="C126" s="28" t="s">
        <v>14</v>
      </c>
      <c r="D126" s="28"/>
      <c r="E126" s="28"/>
      <c r="F126" s="28"/>
    </row>
    <row r="127" spans="1:6">
      <c r="A127" s="28" t="s">
        <v>142</v>
      </c>
      <c r="B127" s="29">
        <v>1.176E-6</v>
      </c>
      <c r="C127" s="28" t="s">
        <v>14</v>
      </c>
      <c r="D127" s="28"/>
      <c r="E127" s="28"/>
      <c r="F127" s="28"/>
    </row>
    <row r="128" spans="1:6">
      <c r="A128" s="28" t="s">
        <v>143</v>
      </c>
      <c r="B128" s="29">
        <v>1.9600000000000001E-7</v>
      </c>
      <c r="C128" s="28" t="s">
        <v>14</v>
      </c>
      <c r="D128" s="28"/>
      <c r="E128" s="28"/>
      <c r="F128" s="28"/>
    </row>
    <row r="129" spans="1:6">
      <c r="A129" s="28" t="s">
        <v>144</v>
      </c>
      <c r="B129" s="29">
        <v>1.96E-8</v>
      </c>
      <c r="C129" s="28" t="s">
        <v>14</v>
      </c>
      <c r="D129" s="28"/>
      <c r="E129" s="28"/>
      <c r="F129" s="28"/>
    </row>
    <row r="130" spans="1:6">
      <c r="A130" s="28" t="s">
        <v>145</v>
      </c>
      <c r="B130" s="29">
        <v>4.9000000000000002E-8</v>
      </c>
      <c r="C130" s="28" t="s">
        <v>14</v>
      </c>
      <c r="D130" s="28"/>
      <c r="E130" s="28"/>
      <c r="F130" s="28"/>
    </row>
    <row r="131" spans="1:6">
      <c r="A131" s="28" t="s">
        <v>146</v>
      </c>
      <c r="B131" s="29">
        <v>4.9000000000000002E-8</v>
      </c>
      <c r="C131" s="28" t="s">
        <v>14</v>
      </c>
      <c r="D131" s="28"/>
      <c r="E131" s="28"/>
      <c r="F131" s="28"/>
    </row>
    <row r="132" spans="1:6">
      <c r="A132" s="28" t="s">
        <v>120</v>
      </c>
      <c r="B132" s="29">
        <v>4.8999999999999997E-7</v>
      </c>
      <c r="C132" s="28" t="s">
        <v>14</v>
      </c>
      <c r="D132" s="28"/>
      <c r="E132" s="28"/>
      <c r="F132" s="28"/>
    </row>
    <row r="133" spans="1:6">
      <c r="A133" s="28" t="s">
        <v>147</v>
      </c>
      <c r="B133" s="29">
        <v>1.9600000000000001E-7</v>
      </c>
      <c r="C133" s="28" t="s">
        <v>14</v>
      </c>
      <c r="D133" s="28"/>
      <c r="E133" s="28"/>
      <c r="F133" s="28"/>
    </row>
    <row r="135" spans="1:6" ht="15">
      <c r="A135" s="30" t="s">
        <v>304</v>
      </c>
      <c r="B135" s="16"/>
      <c r="C135" s="16"/>
      <c r="D135" s="16"/>
      <c r="E135" s="16"/>
      <c r="F135" s="16"/>
    </row>
    <row r="136" spans="1:6" ht="15">
      <c r="A136" s="15" t="s">
        <v>44</v>
      </c>
      <c r="B136" s="16"/>
      <c r="C136" s="16"/>
      <c r="D136" s="16"/>
      <c r="E136" s="16"/>
      <c r="F136" s="16"/>
    </row>
    <row r="137" spans="1:6">
      <c r="A137" s="16" t="s">
        <v>85</v>
      </c>
      <c r="B137" s="16">
        <v>4.6333333333333296E-3</v>
      </c>
      <c r="C137" s="16" t="s">
        <v>86</v>
      </c>
      <c r="D137" s="16"/>
      <c r="E137" s="16"/>
      <c r="F137" s="16" t="s">
        <v>68</v>
      </c>
    </row>
    <row r="138" spans="1:6">
      <c r="A138" s="16" t="s">
        <v>149</v>
      </c>
      <c r="B138" s="17">
        <v>3.1111111111111102E-9</v>
      </c>
      <c r="C138" s="16" t="s">
        <v>46</v>
      </c>
      <c r="D138" s="16"/>
      <c r="E138" s="16"/>
      <c r="F138" s="16" t="s">
        <v>150</v>
      </c>
    </row>
    <row r="139" spans="1:6">
      <c r="A139" s="16" t="s">
        <v>151</v>
      </c>
      <c r="B139" s="16">
        <v>3.0864197530864199E-2</v>
      </c>
      <c r="C139" s="16" t="s">
        <v>23</v>
      </c>
      <c r="D139" s="16"/>
      <c r="E139" s="16"/>
      <c r="F139" s="16" t="s">
        <v>152</v>
      </c>
    </row>
    <row r="140" spans="1:6">
      <c r="A140" s="16"/>
      <c r="B140" s="16"/>
      <c r="C140" s="16"/>
      <c r="D140" s="16"/>
      <c r="E140" s="16"/>
      <c r="F140" s="16"/>
    </row>
    <row r="141" spans="1:6" ht="15">
      <c r="A141" s="15" t="s">
        <v>76</v>
      </c>
      <c r="B141" s="16"/>
      <c r="C141" s="16"/>
      <c r="D141" s="16"/>
      <c r="E141" s="16"/>
      <c r="F141" s="16"/>
    </row>
    <row r="142" spans="1:6">
      <c r="A142" s="16" t="s">
        <v>87</v>
      </c>
      <c r="B142" s="16">
        <v>1</v>
      </c>
      <c r="C142" s="16" t="s">
        <v>50</v>
      </c>
      <c r="D142" s="16"/>
      <c r="E142" s="16"/>
      <c r="F142" s="16"/>
    </row>
    <row r="143" spans="1:6">
      <c r="A143" s="16" t="s">
        <v>128</v>
      </c>
      <c r="B143" s="17">
        <v>1.11111111111111E-9</v>
      </c>
      <c r="C143" s="16" t="s">
        <v>14</v>
      </c>
      <c r="D143" s="16"/>
      <c r="E143" s="16"/>
      <c r="F143" s="16"/>
    </row>
    <row r="144" spans="1:6">
      <c r="A144" s="16" t="s">
        <v>129</v>
      </c>
      <c r="B144" s="17">
        <v>1.6666666666666699E-7</v>
      </c>
      <c r="C144" s="16" t="s">
        <v>14</v>
      </c>
      <c r="D144" s="16"/>
      <c r="E144" s="16"/>
      <c r="F144" s="16"/>
    </row>
    <row r="145" spans="1:6">
      <c r="A145" s="16" t="s">
        <v>130</v>
      </c>
      <c r="B145" s="17">
        <v>4.4444444444444401E-7</v>
      </c>
      <c r="C145" s="16" t="s">
        <v>14</v>
      </c>
      <c r="D145" s="16"/>
      <c r="E145" s="16"/>
      <c r="F145" s="16"/>
    </row>
    <row r="146" spans="1:6">
      <c r="A146" s="17" t="s">
        <v>131</v>
      </c>
      <c r="B146" s="17">
        <v>1.11111111111111E-11</v>
      </c>
      <c r="C146" s="16" t="s">
        <v>14</v>
      </c>
      <c r="D146" s="16"/>
      <c r="E146" s="16"/>
      <c r="F146" s="16"/>
    </row>
    <row r="147" spans="1:6">
      <c r="A147" s="17" t="s">
        <v>132</v>
      </c>
      <c r="B147" s="17">
        <v>7.77777777777778E-7</v>
      </c>
      <c r="C147" s="16" t="s">
        <v>14</v>
      </c>
      <c r="D147" s="16"/>
      <c r="E147" s="16"/>
      <c r="F147" s="16"/>
    </row>
    <row r="148" spans="1:6">
      <c r="A148" s="17" t="s">
        <v>153</v>
      </c>
      <c r="B148" s="16">
        <v>6.22222222222222E-2</v>
      </c>
      <c r="C148" s="16" t="s">
        <v>14</v>
      </c>
      <c r="D148" s="16"/>
      <c r="E148" s="16"/>
      <c r="F148" s="16"/>
    </row>
    <row r="149" spans="1:6">
      <c r="A149" s="17" t="s">
        <v>154</v>
      </c>
      <c r="B149" s="17">
        <v>1.5555555555555599E-5</v>
      </c>
      <c r="C149" s="16" t="s">
        <v>14</v>
      </c>
      <c r="D149" s="16"/>
      <c r="E149" s="16"/>
      <c r="F149" s="16"/>
    </row>
    <row r="150" spans="1:6">
      <c r="A150" s="17" t="s">
        <v>93</v>
      </c>
      <c r="B150" s="17">
        <v>1.11111111111111E-7</v>
      </c>
      <c r="C150" s="16" t="s">
        <v>14</v>
      </c>
      <c r="D150" s="16"/>
      <c r="E150" s="16"/>
      <c r="F150" s="16"/>
    </row>
    <row r="151" spans="1:6">
      <c r="A151" s="16" t="s">
        <v>134</v>
      </c>
      <c r="B151" s="17">
        <v>3.3333333333333298E-17</v>
      </c>
      <c r="C151" s="16" t="s">
        <v>14</v>
      </c>
      <c r="D151" s="16"/>
      <c r="E151" s="16"/>
      <c r="F151" s="17"/>
    </row>
    <row r="152" spans="1:6">
      <c r="A152" s="16" t="s">
        <v>135</v>
      </c>
      <c r="B152" s="17">
        <v>1.11111111111111E-7</v>
      </c>
      <c r="C152" s="16" t="s">
        <v>14</v>
      </c>
      <c r="D152" s="16"/>
      <c r="E152" s="17"/>
      <c r="F152" s="16"/>
    </row>
    <row r="153" spans="1:6">
      <c r="A153" s="17" t="s">
        <v>136</v>
      </c>
      <c r="B153" s="17">
        <v>3.3333333333333302E-11</v>
      </c>
      <c r="C153" s="16" t="s">
        <v>14</v>
      </c>
      <c r="D153" s="16"/>
      <c r="E153" s="16"/>
      <c r="F153" s="16"/>
    </row>
    <row r="154" spans="1:6">
      <c r="A154" s="16" t="s">
        <v>155</v>
      </c>
      <c r="B154" s="17">
        <v>2.22222222222222E-6</v>
      </c>
      <c r="C154" s="16" t="s">
        <v>14</v>
      </c>
      <c r="D154" s="16"/>
      <c r="E154" s="16"/>
      <c r="F154" s="16"/>
    </row>
    <row r="155" spans="1:6">
      <c r="A155" s="16" t="s">
        <v>139</v>
      </c>
      <c r="B155" s="17">
        <v>2.5555555555555602E-5</v>
      </c>
      <c r="C155" s="16" t="s">
        <v>14</v>
      </c>
      <c r="D155" s="16"/>
      <c r="E155" s="16"/>
      <c r="F155" s="16"/>
    </row>
    <row r="156" spans="1:6">
      <c r="A156" s="16" t="s">
        <v>140</v>
      </c>
      <c r="B156" s="17">
        <v>1.11111111111111E-8</v>
      </c>
      <c r="C156" s="16" t="s">
        <v>14</v>
      </c>
      <c r="D156" s="16"/>
      <c r="E156" s="16"/>
      <c r="F156" s="16"/>
    </row>
    <row r="157" spans="1:6">
      <c r="A157" s="16" t="s">
        <v>141</v>
      </c>
      <c r="B157" s="17">
        <v>1.11111111111111E-7</v>
      </c>
      <c r="C157" s="16" t="s">
        <v>14</v>
      </c>
      <c r="D157" s="16"/>
      <c r="E157" s="16"/>
      <c r="F157" s="16"/>
    </row>
    <row r="158" spans="1:6">
      <c r="A158" s="17" t="s">
        <v>142</v>
      </c>
      <c r="B158" s="17">
        <v>1.33333333333333E-6</v>
      </c>
      <c r="C158" s="16" t="s">
        <v>14</v>
      </c>
      <c r="D158" s="16"/>
      <c r="E158" s="16"/>
      <c r="F158" s="16"/>
    </row>
    <row r="159" spans="1:6">
      <c r="A159" s="17" t="s">
        <v>143</v>
      </c>
      <c r="B159" s="17">
        <v>2.2222222222222201E-7</v>
      </c>
      <c r="C159" s="16" t="s">
        <v>14</v>
      </c>
      <c r="D159" s="16"/>
      <c r="E159" s="16"/>
      <c r="F159" s="16"/>
    </row>
    <row r="160" spans="1:6">
      <c r="A160" s="16" t="s">
        <v>144</v>
      </c>
      <c r="B160" s="17">
        <v>2.2222222222222201E-8</v>
      </c>
      <c r="C160" s="16" t="s">
        <v>14</v>
      </c>
      <c r="D160" s="16"/>
      <c r="E160" s="16"/>
      <c r="F160" s="16"/>
    </row>
    <row r="161" spans="1:6">
      <c r="A161" s="16" t="s">
        <v>120</v>
      </c>
      <c r="B161" s="17">
        <v>6.1111111111111095E-7</v>
      </c>
      <c r="C161" s="16" t="s">
        <v>14</v>
      </c>
      <c r="D161" s="16"/>
      <c r="E161" s="16"/>
      <c r="F161" s="16"/>
    </row>
    <row r="162" spans="1:6">
      <c r="A162" s="17" t="s">
        <v>147</v>
      </c>
      <c r="B162" s="17">
        <v>2.2222222222222201E-7</v>
      </c>
      <c r="C162" s="16" t="s">
        <v>14</v>
      </c>
      <c r="D162" s="16"/>
      <c r="E162" s="16"/>
      <c r="F162" s="16"/>
    </row>
    <row r="166" spans="1:6">
      <c r="B166" s="3"/>
    </row>
    <row r="167" spans="1:6">
      <c r="B167" s="3"/>
    </row>
    <row r="168" spans="1:6">
      <c r="B168" s="3"/>
    </row>
    <row r="175" spans="1:6">
      <c r="E175" s="3"/>
      <c r="F175" s="3"/>
    </row>
    <row r="176" spans="1:6">
      <c r="B176" s="3"/>
      <c r="E176" s="3"/>
      <c r="F176" s="3"/>
    </row>
    <row r="177" spans="1:6">
      <c r="B177" s="3"/>
      <c r="C177" s="3"/>
      <c r="E177" s="3"/>
      <c r="F177" s="3"/>
    </row>
    <row r="178" spans="1:6">
      <c r="B178" s="3"/>
      <c r="C178" s="3"/>
      <c r="E178" s="3"/>
      <c r="F178" s="3"/>
    </row>
    <row r="179" spans="1:6">
      <c r="B179" s="3"/>
      <c r="E179" s="3"/>
      <c r="F179" s="3"/>
    </row>
    <row r="180" spans="1:6">
      <c r="B180" s="3"/>
    </row>
    <row r="181" spans="1:6">
      <c r="A181" s="3"/>
    </row>
    <row r="187" spans="1:6">
      <c r="B187" s="3"/>
    </row>
    <row r="188" spans="1:6">
      <c r="B188" s="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6581E-55AE-4496-B1DD-30A04F5528D5}">
  <dimension ref="A1:F366"/>
  <sheetViews>
    <sheetView zoomScale="27" zoomScaleNormal="25" workbookViewId="0">
      <selection activeCell="E36" sqref="E36"/>
    </sheetView>
  </sheetViews>
  <sheetFormatPr baseColWidth="10" defaultColWidth="9" defaultRowHeight="14.25"/>
  <cols>
    <col min="1" max="1" width="78.125" customWidth="1"/>
    <col min="2" max="2" width="79" customWidth="1"/>
    <col min="3" max="3" width="21.75" customWidth="1"/>
    <col min="4" max="4" width="28" customWidth="1"/>
    <col min="5" max="5" width="99.75" bestFit="1" customWidth="1"/>
    <col min="6" max="6" width="45.375" customWidth="1"/>
  </cols>
  <sheetData>
    <row r="1" spans="1:6" ht="15">
      <c r="A1" s="6" t="s">
        <v>6</v>
      </c>
      <c r="B1" s="6" t="s">
        <v>7</v>
      </c>
      <c r="C1" s="6" t="s">
        <v>8</v>
      </c>
      <c r="D1" s="6" t="s">
        <v>9</v>
      </c>
      <c r="E1" s="6" t="s">
        <v>10</v>
      </c>
      <c r="F1" s="6" t="s">
        <v>11</v>
      </c>
    </row>
    <row r="3" spans="1:6" ht="15">
      <c r="A3" s="36" t="s">
        <v>159</v>
      </c>
      <c r="B3" s="35"/>
      <c r="C3" s="35"/>
      <c r="D3" s="35"/>
      <c r="E3" s="35"/>
      <c r="F3" s="35"/>
    </row>
    <row r="4" spans="1:6">
      <c r="A4" s="35" t="s">
        <v>324</v>
      </c>
      <c r="B4" s="35">
        <v>0.1</v>
      </c>
      <c r="C4" s="35" t="s">
        <v>14</v>
      </c>
      <c r="D4" s="35"/>
      <c r="E4" s="35"/>
      <c r="F4" s="35"/>
    </row>
    <row r="5" spans="1:6">
      <c r="A5" s="35" t="s">
        <v>325</v>
      </c>
      <c r="B5" s="35">
        <v>0.24099999999999999</v>
      </c>
      <c r="C5" s="35"/>
      <c r="D5" s="35"/>
      <c r="E5" s="35"/>
      <c r="F5" s="35"/>
    </row>
    <row r="6" spans="1:6">
      <c r="A6" s="35" t="s">
        <v>160</v>
      </c>
      <c r="B6" s="35">
        <v>1.2210000000000001</v>
      </c>
      <c r="C6" s="35" t="s">
        <v>17</v>
      </c>
      <c r="D6" s="35"/>
      <c r="E6" s="35"/>
      <c r="F6" s="35"/>
    </row>
    <row r="7" spans="1:6">
      <c r="A7" s="42" t="s">
        <v>326</v>
      </c>
      <c r="B7" s="35">
        <v>0.55000000000000004</v>
      </c>
      <c r="C7" s="35"/>
      <c r="D7" s="35" t="s">
        <v>162</v>
      </c>
      <c r="E7" s="35"/>
      <c r="F7" s="35"/>
    </row>
    <row r="8" spans="1:6">
      <c r="A8" s="42" t="s">
        <v>327</v>
      </c>
      <c r="B8" s="35">
        <v>0.42799999999999999</v>
      </c>
      <c r="C8" s="35"/>
      <c r="D8" s="35" t="s">
        <v>162</v>
      </c>
      <c r="E8" s="35"/>
      <c r="F8" s="35"/>
    </row>
    <row r="9" spans="1:6">
      <c r="A9" s="42" t="s">
        <v>328</v>
      </c>
      <c r="B9" s="35">
        <v>2.1999999999999999E-2</v>
      </c>
      <c r="C9" s="35"/>
      <c r="D9" s="35" t="s">
        <v>162</v>
      </c>
      <c r="E9" s="35"/>
      <c r="F9" s="35"/>
    </row>
    <row r="10" spans="1:6">
      <c r="A10" s="42" t="s">
        <v>329</v>
      </c>
      <c r="B10" s="35">
        <v>0.79200000000000004</v>
      </c>
      <c r="C10" s="35"/>
      <c r="D10" s="35" t="s">
        <v>162</v>
      </c>
      <c r="E10" s="35"/>
      <c r="F10" s="35"/>
    </row>
    <row r="11" spans="1:6">
      <c r="A11" s="35" t="s">
        <v>166</v>
      </c>
      <c r="B11" s="35">
        <v>4.3249999999999997E-2</v>
      </c>
      <c r="C11" s="35" t="s">
        <v>14</v>
      </c>
      <c r="D11" s="35" t="s">
        <v>167</v>
      </c>
      <c r="E11" s="35"/>
      <c r="F11" s="35"/>
    </row>
    <row r="12" spans="1:6">
      <c r="A12" s="42" t="s">
        <v>168</v>
      </c>
      <c r="B12" s="35">
        <f>B17/27</f>
        <v>0.72592592592592597</v>
      </c>
      <c r="C12" s="35"/>
      <c r="D12" s="35" t="s">
        <v>169</v>
      </c>
      <c r="E12" s="35"/>
      <c r="F12" s="35"/>
    </row>
    <row r="13" spans="1:6">
      <c r="A13" s="42" t="s">
        <v>330</v>
      </c>
      <c r="B13" s="35">
        <f>17.9*4</f>
        <v>71.599999999999994</v>
      </c>
      <c r="C13" s="35" t="s">
        <v>171</v>
      </c>
      <c r="D13" s="35" t="s">
        <v>172</v>
      </c>
      <c r="E13" s="35"/>
      <c r="F13" s="35"/>
    </row>
    <row r="14" spans="1:6">
      <c r="A14" s="42" t="s">
        <v>331</v>
      </c>
      <c r="B14" s="35">
        <v>0.27</v>
      </c>
      <c r="C14" s="35" t="s">
        <v>174</v>
      </c>
      <c r="D14" s="35" t="s">
        <v>172</v>
      </c>
      <c r="E14" s="35"/>
      <c r="F14" s="35"/>
    </row>
    <row r="15" spans="1:6">
      <c r="A15" s="35" t="s">
        <v>22</v>
      </c>
      <c r="B15" s="35">
        <v>1.53579</v>
      </c>
      <c r="C15" s="35" t="s">
        <v>23</v>
      </c>
      <c r="D15" s="35"/>
      <c r="E15" s="35"/>
      <c r="F15" s="35"/>
    </row>
    <row r="16" spans="1:6">
      <c r="A16" s="35" t="s">
        <v>24</v>
      </c>
      <c r="B16" s="35">
        <v>2.513E-2</v>
      </c>
      <c r="C16" s="35" t="s">
        <v>23</v>
      </c>
      <c r="D16" s="35"/>
      <c r="E16" s="35"/>
      <c r="F16" s="35"/>
    </row>
    <row r="17" spans="1:6">
      <c r="A17" s="35" t="s">
        <v>332</v>
      </c>
      <c r="B17" s="35">
        <v>19.600000000000001</v>
      </c>
      <c r="C17" s="35" t="s">
        <v>177</v>
      </c>
      <c r="D17" s="35"/>
      <c r="E17" s="35"/>
      <c r="F17" s="35"/>
    </row>
    <row r="18" spans="1:6">
      <c r="A18" s="35" t="s">
        <v>362</v>
      </c>
      <c r="B18" s="35">
        <f>1.6/100</f>
        <v>1.6E-2</v>
      </c>
      <c r="C18" s="35"/>
      <c r="D18" s="35" t="s">
        <v>172</v>
      </c>
      <c r="E18" s="35"/>
      <c r="F18" s="35"/>
    </row>
    <row r="19" spans="1:6">
      <c r="A19" s="35" t="s">
        <v>363</v>
      </c>
      <c r="B19" s="35">
        <f>8.6/100</f>
        <v>8.5999999999999993E-2</v>
      </c>
      <c r="C19" s="35"/>
      <c r="D19" s="35" t="s">
        <v>172</v>
      </c>
      <c r="E19" s="35"/>
      <c r="F19" s="35"/>
    </row>
    <row r="20" spans="1:6">
      <c r="A20" s="35" t="s">
        <v>364</v>
      </c>
      <c r="B20" s="35">
        <f>1.3/100</f>
        <v>1.3000000000000001E-2</v>
      </c>
      <c r="C20" s="35"/>
      <c r="D20" s="35" t="s">
        <v>172</v>
      </c>
      <c r="E20" s="35"/>
      <c r="F20" s="35"/>
    </row>
    <row r="21" spans="1:6">
      <c r="A21" s="35" t="s">
        <v>39</v>
      </c>
      <c r="B21" s="35">
        <v>142</v>
      </c>
      <c r="C21" s="35" t="s">
        <v>40</v>
      </c>
      <c r="D21" s="35"/>
      <c r="E21" s="35"/>
      <c r="F21" s="35"/>
    </row>
    <row r="22" spans="1:6">
      <c r="A22" s="35" t="s">
        <v>41</v>
      </c>
      <c r="B22" s="35">
        <f>39*2+16</f>
        <v>94</v>
      </c>
      <c r="C22" s="35" t="s">
        <v>40</v>
      </c>
      <c r="D22" s="35"/>
      <c r="E22" s="35"/>
      <c r="F22" s="35"/>
    </row>
    <row r="24" spans="1:6" ht="15">
      <c r="A24" s="34" t="s">
        <v>178</v>
      </c>
      <c r="B24" s="28"/>
      <c r="C24" s="28"/>
      <c r="D24" s="28"/>
      <c r="E24" s="28"/>
      <c r="F24" s="28"/>
    </row>
    <row r="25" spans="1:6" ht="15">
      <c r="A25" s="27" t="s">
        <v>44</v>
      </c>
      <c r="B25" s="28"/>
      <c r="C25" s="28"/>
      <c r="D25" s="28"/>
      <c r="E25" s="28"/>
      <c r="F25" s="28"/>
    </row>
    <row r="26" spans="1:6">
      <c r="A26" s="28" t="s">
        <v>45</v>
      </c>
      <c r="B26" s="28">
        <v>1</v>
      </c>
      <c r="C26" s="28" t="s">
        <v>46</v>
      </c>
      <c r="D26" s="28"/>
      <c r="E26" s="28"/>
      <c r="F26" s="28"/>
    </row>
    <row r="27" spans="1:6">
      <c r="A27" s="28" t="s">
        <v>47</v>
      </c>
      <c r="B27" s="28">
        <v>0.15650723831737146</v>
      </c>
      <c r="C27" s="28" t="s">
        <v>46</v>
      </c>
      <c r="D27" s="28"/>
      <c r="E27" s="28"/>
      <c r="F27" s="28"/>
    </row>
    <row r="28" spans="1:6">
      <c r="A28" s="28" t="s">
        <v>48</v>
      </c>
      <c r="B28" s="28">
        <v>1</v>
      </c>
      <c r="C28" s="28" t="s">
        <v>46</v>
      </c>
      <c r="D28" s="28"/>
      <c r="E28" s="28"/>
      <c r="F28" s="28"/>
    </row>
    <row r="29" spans="1:6">
      <c r="A29" s="28" t="s">
        <v>49</v>
      </c>
      <c r="B29" s="28">
        <v>6.2279044296606232</v>
      </c>
      <c r="C29" s="28" t="s">
        <v>46</v>
      </c>
      <c r="D29" s="28"/>
      <c r="E29" s="28"/>
      <c r="F29" s="28"/>
    </row>
    <row r="30" spans="1:6">
      <c r="A30" s="28" t="s">
        <v>51</v>
      </c>
      <c r="B30" s="28">
        <v>-6.2279044296606232</v>
      </c>
      <c r="C30" s="28" t="s">
        <v>50</v>
      </c>
      <c r="D30" s="28"/>
      <c r="E30" s="28"/>
      <c r="F30" s="28" t="s">
        <v>52</v>
      </c>
    </row>
    <row r="31" spans="1:6">
      <c r="A31" s="28" t="s">
        <v>53</v>
      </c>
      <c r="B31" s="28">
        <v>1</v>
      </c>
      <c r="C31" s="28" t="s">
        <v>46</v>
      </c>
      <c r="D31" s="28"/>
      <c r="E31" s="28"/>
      <c r="F31" s="28"/>
    </row>
    <row r="32" spans="1:6">
      <c r="A32" s="28" t="s">
        <v>54</v>
      </c>
      <c r="B32" s="29">
        <v>1</v>
      </c>
      <c r="C32" s="28" t="s">
        <v>46</v>
      </c>
      <c r="D32" s="28"/>
      <c r="E32" s="28"/>
      <c r="F32" s="28"/>
    </row>
    <row r="33" spans="1:6">
      <c r="A33" s="28" t="s">
        <v>179</v>
      </c>
      <c r="B33" s="28">
        <v>1</v>
      </c>
      <c r="C33" s="28" t="s">
        <v>46</v>
      </c>
      <c r="D33" s="28"/>
      <c r="E33" s="28"/>
      <c r="F33" s="28"/>
    </row>
    <row r="34" spans="1:6">
      <c r="A34" s="28" t="s">
        <v>180</v>
      </c>
      <c r="B34" s="28">
        <v>1</v>
      </c>
      <c r="C34" s="28" t="s">
        <v>46</v>
      </c>
      <c r="D34" s="28"/>
      <c r="E34" s="28"/>
      <c r="F34" s="28"/>
    </row>
    <row r="35" spans="1:6">
      <c r="A35" s="28" t="s">
        <v>184</v>
      </c>
      <c r="B35" s="28">
        <v>1</v>
      </c>
      <c r="C35" s="28" t="s">
        <v>46</v>
      </c>
      <c r="D35" s="28"/>
      <c r="E35" s="28"/>
      <c r="F35" s="28"/>
    </row>
    <row r="36" spans="1:6">
      <c r="A36" s="28" t="s">
        <v>185</v>
      </c>
      <c r="B36" s="29">
        <f>(B87/1000)/B15</f>
        <v>3.7161512878112839E-3</v>
      </c>
      <c r="C36" s="28" t="s">
        <v>46</v>
      </c>
      <c r="D36" s="28"/>
      <c r="E36" s="28"/>
      <c r="F36" s="28"/>
    </row>
    <row r="37" spans="1:6">
      <c r="A37" s="28" t="s">
        <v>186</v>
      </c>
      <c r="B37" s="29">
        <f>B36/B16</f>
        <v>0.14787709064111754</v>
      </c>
      <c r="C37" s="28" t="s">
        <v>46</v>
      </c>
      <c r="D37" s="28"/>
      <c r="E37" s="28"/>
      <c r="F37" s="28"/>
    </row>
    <row r="38" spans="1:6">
      <c r="A38" s="28" t="s">
        <v>366</v>
      </c>
      <c r="B38" s="29">
        <f>-B37</f>
        <v>-0.14787709064111754</v>
      </c>
      <c r="C38" s="28" t="s">
        <v>50</v>
      </c>
      <c r="D38" s="29"/>
      <c r="E38" s="28"/>
      <c r="F38" s="28" t="s">
        <v>52</v>
      </c>
    </row>
    <row r="39" spans="1:6">
      <c r="A39" s="28" t="s">
        <v>367</v>
      </c>
      <c r="B39" s="29">
        <v>-2.3553072625698331E-3</v>
      </c>
      <c r="C39" s="28" t="s">
        <v>14</v>
      </c>
      <c r="D39" s="29"/>
      <c r="E39" s="28"/>
      <c r="F39" s="28"/>
    </row>
    <row r="40" spans="1:6">
      <c r="A40" s="28" t="s">
        <v>368</v>
      </c>
      <c r="B40" s="29">
        <v>-1.0446020544242209E-3</v>
      </c>
      <c r="C40" s="28" t="s">
        <v>14</v>
      </c>
      <c r="D40" s="29"/>
      <c r="E40" s="28"/>
      <c r="F40" s="28"/>
    </row>
    <row r="41" spans="1:6">
      <c r="A41" s="28" t="s">
        <v>369</v>
      </c>
      <c r="B41" s="29">
        <v>-5.4965156854318872E-4</v>
      </c>
      <c r="C41" s="28" t="s">
        <v>14</v>
      </c>
      <c r="D41" s="28"/>
      <c r="E41" s="28"/>
      <c r="F41" s="28"/>
    </row>
    <row r="42" spans="1:6">
      <c r="A42" s="28"/>
      <c r="B42" s="28"/>
      <c r="C42" s="28"/>
      <c r="D42" s="28"/>
      <c r="E42" s="28"/>
      <c r="F42" s="28"/>
    </row>
    <row r="43" spans="1:6" ht="15">
      <c r="A43" s="27" t="s">
        <v>61</v>
      </c>
      <c r="B43" s="28"/>
      <c r="C43" s="28"/>
      <c r="D43" s="28"/>
      <c r="E43" s="28"/>
      <c r="F43" s="28"/>
    </row>
    <row r="44" spans="1:6">
      <c r="A44" s="28" t="s">
        <v>62</v>
      </c>
      <c r="B44" s="28">
        <v>1</v>
      </c>
      <c r="C44" s="28" t="s">
        <v>14</v>
      </c>
      <c r="D44" s="28"/>
      <c r="E44" s="28"/>
      <c r="F44" s="28"/>
    </row>
    <row r="46" spans="1:6" ht="15">
      <c r="A46" s="1" t="s">
        <v>317</v>
      </c>
    </row>
    <row r="47" spans="1:6" ht="15">
      <c r="A47" s="31" t="s">
        <v>333</v>
      </c>
      <c r="B47" s="19"/>
      <c r="C47" s="19"/>
      <c r="D47" s="19"/>
      <c r="E47" s="19"/>
      <c r="F47" s="19"/>
    </row>
    <row r="48" spans="1:6" ht="15">
      <c r="A48" s="18" t="s">
        <v>44</v>
      </c>
      <c r="B48" s="19"/>
      <c r="C48" s="19"/>
      <c r="D48" s="19"/>
      <c r="E48" s="19"/>
      <c r="F48" s="19"/>
    </row>
    <row r="49" spans="1:6">
      <c r="A49" s="19" t="s">
        <v>64</v>
      </c>
      <c r="B49" s="19">
        <f>20/1500</f>
        <v>1.3333333333333334E-2</v>
      </c>
      <c r="C49" s="19" t="s">
        <v>65</v>
      </c>
      <c r="D49" s="19"/>
      <c r="E49" s="19" t="s">
        <v>75</v>
      </c>
      <c r="F49" s="19" t="s">
        <v>68</v>
      </c>
    </row>
    <row r="50" spans="1:6">
      <c r="A50" s="19" t="s">
        <v>69</v>
      </c>
      <c r="B50" s="19">
        <f>2000/(20*3000*1500)</f>
        <v>2.2222222222222223E-5</v>
      </c>
      <c r="C50" s="19" t="s">
        <v>70</v>
      </c>
      <c r="D50" s="19"/>
      <c r="E50" s="19"/>
      <c r="F50" s="19" t="s">
        <v>72</v>
      </c>
    </row>
    <row r="51" spans="1:6">
      <c r="A51" s="19"/>
      <c r="B51" s="19"/>
      <c r="C51" s="19"/>
      <c r="D51" s="19"/>
      <c r="E51" s="19"/>
      <c r="F51" s="19"/>
    </row>
    <row r="52" spans="1:6" ht="15">
      <c r="A52" s="18" t="s">
        <v>76</v>
      </c>
      <c r="B52" s="19"/>
      <c r="C52" s="19"/>
      <c r="D52" s="19"/>
      <c r="E52" s="19"/>
      <c r="F52" s="19"/>
    </row>
    <row r="53" spans="1:6">
      <c r="A53" s="19" t="s">
        <v>53</v>
      </c>
      <c r="B53" s="19">
        <v>1</v>
      </c>
      <c r="C53" s="19" t="s">
        <v>73</v>
      </c>
      <c r="D53" s="19"/>
      <c r="E53" s="19"/>
      <c r="F53" s="19"/>
    </row>
    <row r="54" spans="1:6">
      <c r="A54" s="43" t="s">
        <v>334</v>
      </c>
      <c r="B54" s="43">
        <v>0.1</v>
      </c>
      <c r="C54" s="43" t="s">
        <v>14</v>
      </c>
      <c r="D54" s="19"/>
      <c r="E54" s="19"/>
      <c r="F54" s="19" t="s">
        <v>78</v>
      </c>
    </row>
    <row r="56" spans="1:6" ht="15">
      <c r="A56" s="18" t="s">
        <v>189</v>
      </c>
      <c r="B56" s="19"/>
      <c r="C56" s="19"/>
      <c r="D56" s="19"/>
      <c r="E56" s="19"/>
      <c r="F56" s="19"/>
    </row>
    <row r="57" spans="1:6" ht="15">
      <c r="A57" s="18" t="s">
        <v>44</v>
      </c>
      <c r="B57" s="19"/>
      <c r="C57" s="19"/>
      <c r="D57" s="19"/>
      <c r="E57" s="19"/>
      <c r="F57" s="19"/>
    </row>
    <row r="58" spans="1:6">
      <c r="A58" s="19" t="s">
        <v>85</v>
      </c>
      <c r="B58" s="19">
        <v>4.8703624122618545E-3</v>
      </c>
      <c r="C58" s="19" t="s">
        <v>65</v>
      </c>
      <c r="D58" s="19" t="s">
        <v>97</v>
      </c>
      <c r="E58" s="19" t="s">
        <v>98</v>
      </c>
      <c r="F58" s="19" t="s">
        <v>68</v>
      </c>
    </row>
    <row r="59" spans="1:6">
      <c r="A59" s="19" t="s">
        <v>99</v>
      </c>
      <c r="B59" s="20">
        <v>6.4102564102564103E-5</v>
      </c>
      <c r="C59" s="19" t="s">
        <v>14</v>
      </c>
      <c r="D59" s="19" t="s">
        <v>100</v>
      </c>
      <c r="E59" s="19" t="s">
        <v>101</v>
      </c>
      <c r="F59" s="19" t="s">
        <v>72</v>
      </c>
    </row>
    <row r="60" spans="1:6">
      <c r="A60" s="19"/>
      <c r="B60" s="19"/>
      <c r="C60" s="19"/>
      <c r="D60" s="19"/>
      <c r="E60" s="19"/>
      <c r="F60" s="19"/>
    </row>
    <row r="61" spans="1:6" ht="15">
      <c r="A61" s="18" t="s">
        <v>76</v>
      </c>
      <c r="B61" s="19"/>
      <c r="C61" s="19"/>
      <c r="D61" s="19"/>
      <c r="E61" s="19"/>
      <c r="F61" s="19"/>
    </row>
    <row r="62" spans="1:6">
      <c r="A62" s="19" t="s">
        <v>189</v>
      </c>
      <c r="B62" s="19">
        <v>1</v>
      </c>
      <c r="C62" s="19" t="s">
        <v>46</v>
      </c>
      <c r="D62" s="19"/>
      <c r="E62" s="19"/>
      <c r="F62" s="19"/>
    </row>
    <row r="63" spans="1:6">
      <c r="A63" s="19" t="s">
        <v>190</v>
      </c>
      <c r="B63" s="20">
        <f>0.253258845437616/1000</f>
        <v>2.5325884543761599E-4</v>
      </c>
      <c r="C63" s="19" t="s">
        <v>23</v>
      </c>
      <c r="D63" s="19"/>
      <c r="E63" s="19"/>
      <c r="F63" s="19" t="s">
        <v>104</v>
      </c>
    </row>
    <row r="64" spans="1:6">
      <c r="A64" s="19" t="s">
        <v>105</v>
      </c>
      <c r="B64" s="20">
        <v>0.2532588454376164</v>
      </c>
      <c r="C64" s="19" t="s">
        <v>14</v>
      </c>
      <c r="D64" s="19"/>
      <c r="E64" s="19"/>
      <c r="F64" s="19"/>
    </row>
    <row r="66" spans="1:6" ht="15">
      <c r="A66" s="15" t="s">
        <v>335</v>
      </c>
      <c r="B66" s="16"/>
      <c r="C66" s="16"/>
      <c r="D66" s="16"/>
      <c r="E66" s="16"/>
      <c r="F66" s="16"/>
    </row>
    <row r="67" spans="1:6" ht="15">
      <c r="A67" s="15" t="s">
        <v>44</v>
      </c>
      <c r="B67" s="16"/>
      <c r="C67" s="16"/>
      <c r="D67" s="16"/>
      <c r="E67" s="16"/>
      <c r="F67" s="16"/>
    </row>
    <row r="68" spans="1:6">
      <c r="A68" s="16" t="s">
        <v>64</v>
      </c>
      <c r="B68" s="17">
        <f>0.3*(B4+B70)</f>
        <v>0.11385000000000001</v>
      </c>
      <c r="C68" s="16" t="s">
        <v>65</v>
      </c>
      <c r="D68" s="16"/>
      <c r="E68" s="16" t="s">
        <v>321</v>
      </c>
      <c r="F68" s="16" t="s">
        <v>68</v>
      </c>
    </row>
    <row r="69" spans="1:6">
      <c r="A69" s="16" t="s">
        <v>99</v>
      </c>
      <c r="B69" s="17">
        <v>2.2222222222222223E-5</v>
      </c>
      <c r="C69" s="16" t="s">
        <v>70</v>
      </c>
      <c r="D69" s="16"/>
      <c r="E69" s="16" t="s">
        <v>198</v>
      </c>
      <c r="F69" s="16" t="s">
        <v>72</v>
      </c>
    </row>
    <row r="70" spans="1:6">
      <c r="A70" s="16" t="s">
        <v>349</v>
      </c>
      <c r="B70" s="17">
        <f>(B4*(1-B5)-B4*0.2)/0.2</f>
        <v>0.27950000000000003</v>
      </c>
      <c r="C70" s="16" t="s">
        <v>14</v>
      </c>
      <c r="D70" s="16"/>
      <c r="E70" s="16" t="s">
        <v>200</v>
      </c>
      <c r="F70" s="16" t="s">
        <v>201</v>
      </c>
    </row>
    <row r="71" spans="1:6">
      <c r="A71" s="16"/>
      <c r="B71" s="16"/>
      <c r="C71" s="16"/>
      <c r="D71" s="16"/>
      <c r="E71" s="16"/>
      <c r="F71" s="16"/>
    </row>
    <row r="72" spans="1:6" ht="15">
      <c r="A72" s="15" t="s">
        <v>61</v>
      </c>
      <c r="B72" s="16"/>
      <c r="C72" s="16"/>
      <c r="D72" s="16"/>
      <c r="E72" s="16"/>
      <c r="F72" s="16"/>
    </row>
    <row r="73" spans="1:6">
      <c r="A73" s="16" t="s">
        <v>336</v>
      </c>
      <c r="B73" s="16">
        <v>1</v>
      </c>
      <c r="C73" s="16" t="s">
        <v>46</v>
      </c>
      <c r="D73" s="16"/>
      <c r="E73" s="16"/>
      <c r="F73" s="16"/>
    </row>
    <row r="74" spans="1:6">
      <c r="A74" s="16" t="s">
        <v>203</v>
      </c>
      <c r="B74" s="17">
        <f>B4*(1-B5)*B7/(1-B10)</f>
        <v>0.20069711538461549</v>
      </c>
      <c r="C74" s="16" t="s">
        <v>14</v>
      </c>
      <c r="D74" s="16"/>
      <c r="E74" s="16"/>
      <c r="F74" s="16"/>
    </row>
    <row r="75" spans="1:6">
      <c r="A75" s="16" t="s">
        <v>204</v>
      </c>
      <c r="B75" s="17">
        <f>(B4+B70)-(B74+B76+B77)</f>
        <v>0.17713308461538457</v>
      </c>
      <c r="C75" s="16" t="s">
        <v>14</v>
      </c>
      <c r="D75" s="16"/>
      <c r="E75" s="16"/>
      <c r="F75" s="16"/>
    </row>
    <row r="76" spans="1:6">
      <c r="A76" s="16" t="s">
        <v>92</v>
      </c>
      <c r="B76" s="17">
        <f>B4*(1-B5)*B9*0.95</f>
        <v>1.5863100000000001E-3</v>
      </c>
      <c r="C76" s="16" t="s">
        <v>14</v>
      </c>
      <c r="D76" s="16"/>
      <c r="E76" s="16" t="s">
        <v>205</v>
      </c>
      <c r="F76" s="16"/>
    </row>
    <row r="77" spans="1:6">
      <c r="A77" s="16" t="s">
        <v>133</v>
      </c>
      <c r="B77" s="17">
        <f>B4*(1-B5)*B9*0.05</f>
        <v>8.3490000000000015E-5</v>
      </c>
      <c r="C77" s="16" t="s">
        <v>14</v>
      </c>
      <c r="D77" s="16"/>
      <c r="E77" s="16"/>
      <c r="F77" s="16"/>
    </row>
    <row r="79" spans="1:6" ht="15">
      <c r="A79" s="27" t="s">
        <v>184</v>
      </c>
      <c r="B79" s="39" t="s">
        <v>80</v>
      </c>
      <c r="C79" s="29">
        <v>1</v>
      </c>
      <c r="D79" s="28"/>
      <c r="E79" s="28" t="s">
        <v>286</v>
      </c>
      <c r="F79" s="28"/>
    </row>
    <row r="80" spans="1:6" ht="15">
      <c r="A80" s="27" t="s">
        <v>44</v>
      </c>
      <c r="B80" s="28"/>
      <c r="C80" s="28"/>
      <c r="D80" s="28"/>
      <c r="E80" s="28"/>
      <c r="F80" s="28"/>
    </row>
    <row r="81" spans="1:6">
      <c r="A81" s="28" t="s">
        <v>287</v>
      </c>
      <c r="B81" s="28">
        <v>0</v>
      </c>
      <c r="C81" s="28" t="s">
        <v>73</v>
      </c>
      <c r="D81" s="28"/>
      <c r="E81" s="28"/>
      <c r="F81" s="28" t="s">
        <v>84</v>
      </c>
    </row>
    <row r="82" spans="1:6">
      <c r="A82" s="28" t="s">
        <v>85</v>
      </c>
      <c r="B82" s="28">
        <v>0</v>
      </c>
      <c r="C82" s="28" t="s">
        <v>65</v>
      </c>
      <c r="D82" s="28"/>
      <c r="E82" s="28"/>
      <c r="F82" s="28" t="s">
        <v>68</v>
      </c>
    </row>
    <row r="83" spans="1:6">
      <c r="A83" s="28" t="s">
        <v>288</v>
      </c>
      <c r="B83" s="28">
        <v>0</v>
      </c>
      <c r="C83" s="28" t="s">
        <v>50</v>
      </c>
      <c r="D83" s="28"/>
      <c r="E83" s="28"/>
      <c r="F83" s="28" t="s">
        <v>88</v>
      </c>
    </row>
    <row r="84" spans="1:6">
      <c r="A84" s="28"/>
      <c r="B84" s="28"/>
      <c r="C84" s="28"/>
      <c r="D84" s="28"/>
      <c r="E84" s="28"/>
      <c r="F84" s="28"/>
    </row>
    <row r="85" spans="1:6" ht="15">
      <c r="A85" s="27" t="s">
        <v>76</v>
      </c>
      <c r="B85" s="28"/>
      <c r="C85" s="28"/>
      <c r="D85" s="28"/>
      <c r="E85" s="28"/>
      <c r="F85" s="28"/>
    </row>
    <row r="86" spans="1:6">
      <c r="A86" s="28" t="s">
        <v>45</v>
      </c>
      <c r="B86" s="28">
        <v>1</v>
      </c>
      <c r="C86" s="28" t="s">
        <v>73</v>
      </c>
      <c r="D86" s="28"/>
      <c r="E86" s="28"/>
      <c r="F86" s="28"/>
    </row>
    <row r="87" spans="1:6">
      <c r="A87" s="28" t="s">
        <v>289</v>
      </c>
      <c r="B87" s="29">
        <f>B14*B13*B75/0.6</f>
        <v>5.7072279863076911</v>
      </c>
      <c r="C87" s="28" t="s">
        <v>290</v>
      </c>
      <c r="D87" s="28"/>
      <c r="E87" s="28"/>
      <c r="F87" s="28"/>
    </row>
    <row r="88" spans="1:6">
      <c r="A88" s="28" t="s">
        <v>291</v>
      </c>
      <c r="B88" s="37">
        <f>B75-B101</f>
        <v>0.17020699157118452</v>
      </c>
      <c r="C88" s="28" t="s">
        <v>14</v>
      </c>
      <c r="D88" s="28"/>
      <c r="E88" s="28"/>
      <c r="F88" s="28" t="s">
        <v>104</v>
      </c>
    </row>
    <row r="89" spans="1:6">
      <c r="A89" s="28" t="s">
        <v>91</v>
      </c>
      <c r="B89" s="28">
        <v>0</v>
      </c>
      <c r="C89" s="29" t="s">
        <v>14</v>
      </c>
      <c r="D89" s="28"/>
      <c r="E89" s="28"/>
      <c r="F89" s="28"/>
    </row>
    <row r="90" spans="1:6">
      <c r="A90" s="28" t="s">
        <v>92</v>
      </c>
      <c r="B90" s="28">
        <v>0</v>
      </c>
      <c r="C90" s="29" t="s">
        <v>14</v>
      </c>
      <c r="D90" s="28"/>
      <c r="E90" s="28"/>
      <c r="F90" s="28"/>
    </row>
    <row r="91" spans="1:6">
      <c r="A91" s="28" t="s">
        <v>93</v>
      </c>
      <c r="B91" s="28">
        <v>0</v>
      </c>
      <c r="C91" s="29" t="s">
        <v>14</v>
      </c>
      <c r="D91" s="28"/>
      <c r="E91" s="28"/>
      <c r="F91" s="28"/>
    </row>
    <row r="92" spans="1:6">
      <c r="A92" s="28" t="s">
        <v>94</v>
      </c>
      <c r="B92" s="28">
        <v>0</v>
      </c>
      <c r="C92" s="29" t="s">
        <v>14</v>
      </c>
      <c r="D92" s="28"/>
      <c r="E92" s="28"/>
      <c r="F92" s="28"/>
    </row>
    <row r="93" spans="1:6">
      <c r="A93" s="28" t="s">
        <v>95</v>
      </c>
      <c r="B93" s="28">
        <v>0</v>
      </c>
      <c r="C93" s="29" t="s">
        <v>14</v>
      </c>
      <c r="D93" s="28"/>
      <c r="E93" s="28"/>
      <c r="F93" s="28"/>
    </row>
    <row r="95" spans="1:6" ht="15">
      <c r="A95" s="4" t="s">
        <v>293</v>
      </c>
      <c r="B95" s="2"/>
      <c r="C95" s="2"/>
      <c r="D95" s="2"/>
      <c r="E95" s="2"/>
      <c r="F95" s="2"/>
    </row>
    <row r="96" spans="1:6">
      <c r="A96" s="5" t="s">
        <v>337</v>
      </c>
      <c r="B96" s="5">
        <f>B14*B13*B75/0.6</f>
        <v>5.7072279863076911</v>
      </c>
      <c r="C96" s="5" t="s">
        <v>295</v>
      </c>
      <c r="D96" s="2"/>
      <c r="E96" s="2"/>
      <c r="F96" s="2"/>
    </row>
    <row r="97" spans="1:6">
      <c r="A97" s="2" t="s">
        <v>296</v>
      </c>
      <c r="B97" s="2"/>
      <c r="C97" s="2"/>
      <c r="D97" s="2"/>
      <c r="E97" s="5"/>
      <c r="F97" s="2"/>
    </row>
    <row r="98" spans="1:6">
      <c r="A98" s="2" t="s">
        <v>297</v>
      </c>
      <c r="B98" s="5">
        <f>B75</f>
        <v>0.17713308461538457</v>
      </c>
      <c r="C98" s="5" t="s">
        <v>14</v>
      </c>
      <c r="D98" s="5"/>
      <c r="E98" s="5"/>
      <c r="F98" s="2"/>
    </row>
    <row r="99" spans="1:6">
      <c r="A99" s="2" t="s">
        <v>298</v>
      </c>
      <c r="B99" s="5">
        <f>(1*B87)/(0.0821*273)</f>
        <v>0.25463577368382567</v>
      </c>
      <c r="C99" s="2"/>
      <c r="D99" s="5"/>
      <c r="E99" s="5"/>
      <c r="F99" s="2"/>
    </row>
    <row r="100" spans="1:6">
      <c r="A100" s="2" t="s">
        <v>299</v>
      </c>
      <c r="B100" s="2">
        <f>16*0.6+44*0.4</f>
        <v>27.200000000000003</v>
      </c>
      <c r="C100" s="2" t="s">
        <v>40</v>
      </c>
      <c r="D100" s="2"/>
      <c r="E100" s="2"/>
      <c r="F100" s="2"/>
    </row>
    <row r="101" spans="1:6">
      <c r="A101" s="2" t="s">
        <v>300</v>
      </c>
      <c r="B101" s="5">
        <f>B100*B99/1000</f>
        <v>6.9260930442000598E-3</v>
      </c>
      <c r="C101" s="2" t="s">
        <v>14</v>
      </c>
      <c r="D101" s="2"/>
      <c r="E101" s="2"/>
      <c r="F101" s="2"/>
    </row>
    <row r="102" spans="1:6" ht="20.25">
      <c r="A102" s="2" t="s">
        <v>301</v>
      </c>
      <c r="B102" s="5">
        <f>B98-B101</f>
        <v>0.17020699157118452</v>
      </c>
      <c r="C102" s="2" t="s">
        <v>14</v>
      </c>
      <c r="D102" s="2"/>
      <c r="E102" s="40"/>
      <c r="F102" s="2"/>
    </row>
    <row r="103" spans="1:6">
      <c r="A103" s="2" t="s">
        <v>302</v>
      </c>
      <c r="B103" s="5">
        <f>(B75*B6)/B101</f>
        <v>31.226767375944792</v>
      </c>
      <c r="C103" s="2" t="s">
        <v>14</v>
      </c>
      <c r="D103" s="2"/>
      <c r="E103" s="2"/>
      <c r="F103" s="2"/>
    </row>
    <row r="105" spans="1:6" ht="15">
      <c r="A105" s="33" t="s">
        <v>303</v>
      </c>
      <c r="B105" s="24"/>
      <c r="C105" s="25"/>
      <c r="D105" s="24" t="s">
        <v>108</v>
      </c>
      <c r="E105" s="25"/>
      <c r="F105" s="25"/>
    </row>
    <row r="106" spans="1:6" ht="15">
      <c r="A106" s="24" t="s">
        <v>44</v>
      </c>
      <c r="B106" s="25"/>
      <c r="C106" s="25"/>
      <c r="D106" s="25"/>
      <c r="E106" s="25"/>
      <c r="F106" s="25"/>
    </row>
    <row r="107" spans="1:6">
      <c r="A107" s="25" t="s">
        <v>109</v>
      </c>
      <c r="B107" s="26">
        <v>2.0799999999999999E-4</v>
      </c>
      <c r="C107" s="25" t="s">
        <v>14</v>
      </c>
      <c r="D107" s="25"/>
      <c r="E107" s="25"/>
      <c r="F107" s="25" t="s">
        <v>110</v>
      </c>
    </row>
    <row r="108" spans="1:6">
      <c r="A108" s="25" t="s">
        <v>111</v>
      </c>
      <c r="B108" s="26">
        <v>5.4000000000000001E-11</v>
      </c>
      <c r="C108" s="25" t="s">
        <v>46</v>
      </c>
      <c r="D108" s="25"/>
      <c r="E108" s="25"/>
      <c r="F108" s="25" t="s">
        <v>112</v>
      </c>
    </row>
    <row r="109" spans="1:6">
      <c r="A109" s="25" t="s">
        <v>85</v>
      </c>
      <c r="B109" s="25">
        <v>0.18562874251497</v>
      </c>
      <c r="C109" s="25" t="s">
        <v>86</v>
      </c>
      <c r="D109" s="25"/>
      <c r="E109" s="25"/>
      <c r="F109" s="25" t="s">
        <v>68</v>
      </c>
    </row>
    <row r="110" spans="1:6">
      <c r="A110" s="25" t="s">
        <v>113</v>
      </c>
      <c r="B110" s="26">
        <v>1.4999999999999999E-4</v>
      </c>
      <c r="C110" s="25" t="s">
        <v>14</v>
      </c>
      <c r="D110" s="25"/>
      <c r="E110" s="25"/>
      <c r="F110" s="25" t="s">
        <v>114</v>
      </c>
    </row>
    <row r="111" spans="1:6">
      <c r="A111" s="25" t="s">
        <v>115</v>
      </c>
      <c r="B111" s="26">
        <v>3.98E-6</v>
      </c>
      <c r="C111" s="25" t="s">
        <v>14</v>
      </c>
      <c r="D111" s="25"/>
      <c r="E111" s="25"/>
      <c r="F111" s="25" t="s">
        <v>116</v>
      </c>
    </row>
    <row r="112" spans="1:6">
      <c r="A112" s="25"/>
      <c r="B112" s="26"/>
      <c r="C112" s="25"/>
      <c r="D112" s="25"/>
      <c r="E112" s="25"/>
      <c r="F112" s="25"/>
    </row>
    <row r="113" spans="1:6" ht="15">
      <c r="A113" s="24" t="s">
        <v>61</v>
      </c>
      <c r="B113" s="25"/>
      <c r="C113" s="25"/>
      <c r="D113" s="25"/>
      <c r="E113" s="25"/>
      <c r="F113" s="25"/>
    </row>
    <row r="114" spans="1:6">
      <c r="A114" s="25" t="s">
        <v>47</v>
      </c>
      <c r="B114" s="25">
        <v>1</v>
      </c>
      <c r="C114" s="25" t="s">
        <v>46</v>
      </c>
      <c r="D114" s="25"/>
      <c r="E114" s="25"/>
      <c r="F114" s="25"/>
    </row>
    <row r="115" spans="1:6">
      <c r="A115" s="25" t="s">
        <v>117</v>
      </c>
      <c r="B115" s="25">
        <v>1</v>
      </c>
      <c r="C115" s="25" t="s">
        <v>23</v>
      </c>
      <c r="D115" s="25"/>
      <c r="E115" s="25"/>
      <c r="F115" s="25"/>
    </row>
    <row r="116" spans="1:6">
      <c r="A116" s="25" t="s">
        <v>92</v>
      </c>
      <c r="B116" s="26">
        <v>0.97457000000000005</v>
      </c>
      <c r="C116" s="25" t="s">
        <v>14</v>
      </c>
      <c r="D116" s="25"/>
      <c r="E116" s="25"/>
      <c r="F116" s="25"/>
    </row>
    <row r="117" spans="1:6">
      <c r="A117" s="25" t="s">
        <v>118</v>
      </c>
      <c r="B117" s="26">
        <v>1.28</v>
      </c>
      <c r="C117" s="25" t="s">
        <v>50</v>
      </c>
      <c r="D117" s="25"/>
      <c r="E117" s="25"/>
      <c r="F117" s="25"/>
    </row>
    <row r="118" spans="1:6">
      <c r="A118" s="25" t="s">
        <v>94</v>
      </c>
      <c r="B118" s="26">
        <v>6.7000000000000002E-6</v>
      </c>
      <c r="C118" s="25" t="s">
        <v>14</v>
      </c>
      <c r="D118" s="25"/>
      <c r="E118" s="25"/>
      <c r="F118" s="25"/>
    </row>
    <row r="119" spans="1:6">
      <c r="A119" s="25" t="s">
        <v>95</v>
      </c>
      <c r="B119" s="25">
        <v>8.6E-3</v>
      </c>
      <c r="C119" s="25" t="s">
        <v>14</v>
      </c>
      <c r="D119" s="25"/>
      <c r="E119" s="25"/>
      <c r="F119" s="25"/>
    </row>
    <row r="120" spans="1:6">
      <c r="A120" s="25" t="s">
        <v>119</v>
      </c>
      <c r="B120" s="25">
        <v>4.8779999999999997E-2</v>
      </c>
      <c r="C120" s="25" t="s">
        <v>14</v>
      </c>
      <c r="D120" s="25"/>
      <c r="E120" s="25"/>
      <c r="F120" s="25"/>
    </row>
    <row r="121" spans="1:6">
      <c r="A121" s="25" t="s">
        <v>120</v>
      </c>
      <c r="B121" s="26">
        <v>6.5989999999999998E-6</v>
      </c>
      <c r="C121" s="25" t="s">
        <v>14</v>
      </c>
      <c r="D121" s="25"/>
      <c r="E121" s="25"/>
      <c r="F121" s="25"/>
    </row>
    <row r="123" spans="1:6" ht="15">
      <c r="A123" s="34" t="s">
        <v>186</v>
      </c>
      <c r="B123" s="28"/>
      <c r="C123" s="28"/>
      <c r="D123" s="27" t="s">
        <v>121</v>
      </c>
      <c r="E123" s="28"/>
      <c r="F123" s="28"/>
    </row>
    <row r="124" spans="1:6" ht="15">
      <c r="A124" s="27" t="s">
        <v>44</v>
      </c>
      <c r="B124" s="28"/>
      <c r="C124" s="28"/>
      <c r="D124" s="28"/>
      <c r="E124" s="28"/>
      <c r="F124" s="28"/>
    </row>
    <row r="125" spans="1:6">
      <c r="A125" s="28" t="s">
        <v>85</v>
      </c>
      <c r="B125" s="28">
        <v>2.7244000000000001E-3</v>
      </c>
      <c r="C125" s="28" t="s">
        <v>86</v>
      </c>
      <c r="D125" s="28"/>
      <c r="E125" s="28"/>
      <c r="F125" s="28" t="s">
        <v>68</v>
      </c>
    </row>
    <row r="126" spans="1:6">
      <c r="A126" s="28" t="s">
        <v>122</v>
      </c>
      <c r="B126" s="29">
        <v>6.4679999999999999E-7</v>
      </c>
      <c r="C126" s="28" t="s">
        <v>46</v>
      </c>
      <c r="D126" s="28"/>
      <c r="E126" s="28"/>
      <c r="F126" s="28" t="s">
        <v>123</v>
      </c>
    </row>
    <row r="127" spans="1:6">
      <c r="A127" s="28"/>
      <c r="B127" s="28"/>
      <c r="C127" s="28"/>
      <c r="D127" s="28"/>
      <c r="E127" s="28"/>
      <c r="F127" s="28"/>
    </row>
    <row r="128" spans="1:6" ht="15">
      <c r="A128" s="27" t="s">
        <v>61</v>
      </c>
      <c r="B128" s="28"/>
      <c r="C128" s="28"/>
      <c r="D128" s="28"/>
      <c r="E128" s="28"/>
      <c r="F128" s="28"/>
    </row>
    <row r="129" spans="1:6">
      <c r="A129" s="28" t="s">
        <v>124</v>
      </c>
      <c r="B129" s="28">
        <v>1</v>
      </c>
      <c r="C129" s="28" t="s">
        <v>46</v>
      </c>
      <c r="D129" s="28"/>
      <c r="E129" s="28"/>
      <c r="F129" s="28"/>
    </row>
    <row r="130" spans="1:6">
      <c r="A130" s="28" t="s">
        <v>125</v>
      </c>
      <c r="B130" s="28">
        <v>0</v>
      </c>
      <c r="C130" s="28" t="s">
        <v>50</v>
      </c>
      <c r="D130" s="28"/>
      <c r="E130" s="28" t="s">
        <v>126</v>
      </c>
      <c r="F130" s="28"/>
    </row>
    <row r="131" spans="1:6">
      <c r="A131" s="28" t="s">
        <v>128</v>
      </c>
      <c r="B131" s="29">
        <v>9.7999999999999992E-10</v>
      </c>
      <c r="C131" s="28" t="s">
        <v>14</v>
      </c>
      <c r="D131" s="28"/>
      <c r="E131" s="28"/>
      <c r="F131" s="28"/>
    </row>
    <row r="132" spans="1:6">
      <c r="A132" s="28" t="s">
        <v>129</v>
      </c>
      <c r="B132" s="29">
        <v>1.4700000000000001E-7</v>
      </c>
      <c r="C132" s="28" t="s">
        <v>14</v>
      </c>
      <c r="D132" s="28"/>
      <c r="E132" s="28"/>
      <c r="F132" s="28"/>
    </row>
    <row r="133" spans="1:6">
      <c r="A133" s="28" t="s">
        <v>130</v>
      </c>
      <c r="B133" s="29">
        <v>3.9200000000000002E-7</v>
      </c>
      <c r="C133" s="28" t="s">
        <v>14</v>
      </c>
      <c r="D133" s="28"/>
      <c r="E133" s="28"/>
      <c r="F133" s="28"/>
    </row>
    <row r="134" spans="1:6">
      <c r="A134" s="28" t="s">
        <v>131</v>
      </c>
      <c r="B134" s="29">
        <v>9.7999999999999994E-12</v>
      </c>
      <c r="C134" s="28" t="s">
        <v>14</v>
      </c>
      <c r="D134" s="28"/>
      <c r="E134" s="28"/>
      <c r="F134" s="28"/>
    </row>
    <row r="135" spans="1:6">
      <c r="A135" s="28" t="s">
        <v>132</v>
      </c>
      <c r="B135" s="29">
        <v>6.8599999999999998E-7</v>
      </c>
      <c r="C135" s="28" t="s">
        <v>14</v>
      </c>
      <c r="D135" s="28"/>
      <c r="E135" s="28"/>
      <c r="F135" s="28"/>
    </row>
    <row r="136" spans="1:6">
      <c r="A136" s="28" t="s">
        <v>92</v>
      </c>
      <c r="B136" s="28">
        <v>5.4879999999999998E-2</v>
      </c>
      <c r="C136" s="28" t="s">
        <v>14</v>
      </c>
      <c r="D136" s="28"/>
      <c r="E136" s="28"/>
      <c r="F136" s="28"/>
    </row>
    <row r="137" spans="1:6">
      <c r="A137" s="28" t="s">
        <v>133</v>
      </c>
      <c r="B137" s="29">
        <v>5.7819999999999999E-6</v>
      </c>
      <c r="C137" s="28" t="s">
        <v>14</v>
      </c>
      <c r="D137" s="28"/>
      <c r="E137" s="28"/>
      <c r="F137" s="28"/>
    </row>
    <row r="138" spans="1:6">
      <c r="A138" s="28" t="s">
        <v>93</v>
      </c>
      <c r="B138" s="29">
        <v>4.8999999999999997E-7</v>
      </c>
      <c r="C138" s="28" t="s">
        <v>14</v>
      </c>
      <c r="D138" s="28"/>
      <c r="E138" s="28"/>
      <c r="F138" s="28"/>
    </row>
    <row r="139" spans="1:6">
      <c r="A139" s="28" t="s">
        <v>134</v>
      </c>
      <c r="B139" s="29">
        <v>2.9400000000000001E-17</v>
      </c>
      <c r="C139" s="28" t="s">
        <v>14</v>
      </c>
      <c r="D139" s="28"/>
      <c r="E139" s="28"/>
      <c r="F139" s="28"/>
    </row>
    <row r="140" spans="1:6">
      <c r="A140" s="28" t="s">
        <v>135</v>
      </c>
      <c r="B140" s="29">
        <v>9.8000000000000004E-8</v>
      </c>
      <c r="C140" s="28" t="s">
        <v>14</v>
      </c>
      <c r="D140" s="28"/>
      <c r="E140" s="28"/>
      <c r="F140" s="28"/>
    </row>
    <row r="141" spans="1:6">
      <c r="A141" s="28" t="s">
        <v>136</v>
      </c>
      <c r="B141" s="29">
        <v>2.9400000000000003E-11</v>
      </c>
      <c r="C141" s="28" t="s">
        <v>14</v>
      </c>
      <c r="D141" s="28"/>
      <c r="E141" s="28"/>
      <c r="F141" s="28"/>
    </row>
    <row r="142" spans="1:6">
      <c r="A142" s="28" t="s">
        <v>95</v>
      </c>
      <c r="B142" s="29">
        <v>1.9599999999999999E-6</v>
      </c>
      <c r="C142" s="28" t="s">
        <v>14</v>
      </c>
      <c r="D142" s="28"/>
      <c r="E142" s="28"/>
      <c r="F142" s="28"/>
    </row>
    <row r="143" spans="1:6">
      <c r="A143" s="28" t="s">
        <v>137</v>
      </c>
      <c r="B143" s="29">
        <v>1.2739999999999999E-7</v>
      </c>
      <c r="C143" s="28" t="s">
        <v>14</v>
      </c>
      <c r="D143" s="28"/>
      <c r="E143" s="28"/>
      <c r="F143" s="28"/>
    </row>
    <row r="144" spans="1:6">
      <c r="A144" s="28" t="s">
        <v>138</v>
      </c>
      <c r="B144" s="29">
        <v>2.9400000000000002E-9</v>
      </c>
      <c r="C144" s="28" t="s">
        <v>14</v>
      </c>
      <c r="D144" s="28"/>
      <c r="E144" s="28"/>
      <c r="F144" s="28"/>
    </row>
    <row r="145" spans="1:6">
      <c r="A145" s="28" t="s">
        <v>139</v>
      </c>
      <c r="B145" s="29">
        <v>9.7019999999999996E-6</v>
      </c>
      <c r="C145" s="28" t="s">
        <v>14</v>
      </c>
      <c r="D145" s="28"/>
      <c r="E145" s="28"/>
      <c r="F145" s="28"/>
    </row>
    <row r="146" spans="1:6">
      <c r="A146" s="28" t="s">
        <v>140</v>
      </c>
      <c r="B146" s="29">
        <v>9.8000000000000001E-9</v>
      </c>
      <c r="C146" s="28" t="s">
        <v>14</v>
      </c>
      <c r="D146" s="28"/>
      <c r="E146" s="28"/>
      <c r="F146" s="28"/>
    </row>
    <row r="147" spans="1:6">
      <c r="A147" s="28" t="s">
        <v>141</v>
      </c>
      <c r="B147" s="29">
        <v>9.8000000000000004E-8</v>
      </c>
      <c r="C147" s="28" t="s">
        <v>14</v>
      </c>
      <c r="D147" s="28"/>
      <c r="E147" s="28"/>
      <c r="F147" s="28"/>
    </row>
    <row r="148" spans="1:6">
      <c r="A148" s="28" t="s">
        <v>142</v>
      </c>
      <c r="B148" s="29">
        <v>1.176E-6</v>
      </c>
      <c r="C148" s="28" t="s">
        <v>14</v>
      </c>
      <c r="D148" s="28"/>
      <c r="E148" s="28"/>
      <c r="F148" s="28"/>
    </row>
    <row r="149" spans="1:6">
      <c r="A149" s="28" t="s">
        <v>143</v>
      </c>
      <c r="B149" s="29">
        <v>1.9600000000000001E-7</v>
      </c>
      <c r="C149" s="28" t="s">
        <v>14</v>
      </c>
      <c r="D149" s="28"/>
      <c r="E149" s="28"/>
      <c r="F149" s="28"/>
    </row>
    <row r="150" spans="1:6">
      <c r="A150" s="28" t="s">
        <v>144</v>
      </c>
      <c r="B150" s="29">
        <v>1.96E-8</v>
      </c>
      <c r="C150" s="28" t="s">
        <v>14</v>
      </c>
      <c r="D150" s="28"/>
      <c r="E150" s="28"/>
      <c r="F150" s="28"/>
    </row>
    <row r="151" spans="1:6">
      <c r="A151" s="28" t="s">
        <v>145</v>
      </c>
      <c r="B151" s="29">
        <v>4.9000000000000002E-8</v>
      </c>
      <c r="C151" s="28" t="s">
        <v>14</v>
      </c>
      <c r="D151" s="28"/>
      <c r="E151" s="28"/>
      <c r="F151" s="28"/>
    </row>
    <row r="152" spans="1:6">
      <c r="A152" s="28" t="s">
        <v>146</v>
      </c>
      <c r="B152" s="29">
        <v>4.9000000000000002E-8</v>
      </c>
      <c r="C152" s="28" t="s">
        <v>14</v>
      </c>
      <c r="D152" s="28"/>
      <c r="E152" s="28"/>
      <c r="F152" s="28"/>
    </row>
    <row r="153" spans="1:6">
      <c r="A153" s="28" t="s">
        <v>120</v>
      </c>
      <c r="B153" s="29">
        <v>4.8999999999999997E-7</v>
      </c>
      <c r="C153" s="28" t="s">
        <v>14</v>
      </c>
      <c r="D153" s="28"/>
      <c r="E153" s="28"/>
      <c r="F153" s="28"/>
    </row>
    <row r="154" spans="1:6">
      <c r="A154" s="28" t="s">
        <v>147</v>
      </c>
      <c r="B154" s="29">
        <v>1.9600000000000001E-7</v>
      </c>
      <c r="C154" s="28" t="s">
        <v>14</v>
      </c>
      <c r="D154" s="28"/>
      <c r="E154" s="28"/>
      <c r="F154" s="28"/>
    </row>
    <row r="156" spans="1:6" ht="15">
      <c r="A156" s="30" t="s">
        <v>304</v>
      </c>
      <c r="B156" s="16"/>
      <c r="C156" s="16"/>
      <c r="D156" s="16"/>
      <c r="E156" s="16"/>
      <c r="F156" s="16"/>
    </row>
    <row r="157" spans="1:6" ht="15">
      <c r="A157" s="15" t="s">
        <v>44</v>
      </c>
      <c r="B157" s="16"/>
      <c r="C157" s="16"/>
      <c r="D157" s="16"/>
      <c r="E157" s="16"/>
      <c r="F157" s="16"/>
    </row>
    <row r="158" spans="1:6">
      <c r="A158" s="16" t="s">
        <v>85</v>
      </c>
      <c r="B158" s="16">
        <v>4.6333333333333296E-3</v>
      </c>
      <c r="C158" s="16" t="s">
        <v>86</v>
      </c>
      <c r="D158" s="16"/>
      <c r="E158" s="16"/>
      <c r="F158" s="16" t="s">
        <v>68</v>
      </c>
    </row>
    <row r="159" spans="1:6">
      <c r="A159" s="16" t="s">
        <v>149</v>
      </c>
      <c r="B159" s="17">
        <v>3.1111111111111102E-9</v>
      </c>
      <c r="C159" s="16" t="s">
        <v>46</v>
      </c>
      <c r="D159" s="16"/>
      <c r="E159" s="16"/>
      <c r="F159" s="16" t="s">
        <v>150</v>
      </c>
    </row>
    <row r="160" spans="1:6">
      <c r="A160" s="16" t="s">
        <v>151</v>
      </c>
      <c r="B160" s="16">
        <v>3.0864197530864199E-2</v>
      </c>
      <c r="C160" s="16" t="s">
        <v>23</v>
      </c>
      <c r="D160" s="16"/>
      <c r="E160" s="16"/>
      <c r="F160" s="16" t="s">
        <v>152</v>
      </c>
    </row>
    <row r="161" spans="1:6">
      <c r="A161" s="16"/>
      <c r="B161" s="16"/>
      <c r="C161" s="16"/>
      <c r="D161" s="16"/>
      <c r="E161" s="16"/>
      <c r="F161" s="16"/>
    </row>
    <row r="162" spans="1:6" ht="15">
      <c r="A162" s="15" t="s">
        <v>76</v>
      </c>
      <c r="B162" s="16"/>
      <c r="C162" s="16"/>
      <c r="D162" s="16"/>
      <c r="E162" s="16"/>
      <c r="F162" s="16"/>
    </row>
    <row r="163" spans="1:6">
      <c r="A163" s="16" t="s">
        <v>87</v>
      </c>
      <c r="B163" s="16">
        <v>1</v>
      </c>
      <c r="C163" s="16" t="s">
        <v>50</v>
      </c>
      <c r="D163" s="16"/>
      <c r="E163" s="16"/>
      <c r="F163" s="16"/>
    </row>
    <row r="164" spans="1:6">
      <c r="A164" s="16" t="s">
        <v>128</v>
      </c>
      <c r="B164" s="17">
        <v>1.11111111111111E-9</v>
      </c>
      <c r="C164" s="16" t="s">
        <v>14</v>
      </c>
      <c r="D164" s="16"/>
      <c r="E164" s="16"/>
      <c r="F164" s="16"/>
    </row>
    <row r="165" spans="1:6">
      <c r="A165" s="16" t="s">
        <v>129</v>
      </c>
      <c r="B165" s="17">
        <v>1.6666666666666699E-7</v>
      </c>
      <c r="C165" s="16" t="s">
        <v>14</v>
      </c>
      <c r="D165" s="16"/>
      <c r="E165" s="16"/>
      <c r="F165" s="16"/>
    </row>
    <row r="166" spans="1:6">
      <c r="A166" s="16" t="s">
        <v>130</v>
      </c>
      <c r="B166" s="17">
        <v>4.4444444444444401E-7</v>
      </c>
      <c r="C166" s="16" t="s">
        <v>14</v>
      </c>
      <c r="D166" s="16"/>
      <c r="E166" s="16"/>
      <c r="F166" s="16"/>
    </row>
    <row r="167" spans="1:6">
      <c r="A167" s="17" t="s">
        <v>131</v>
      </c>
      <c r="B167" s="17">
        <v>1.11111111111111E-11</v>
      </c>
      <c r="C167" s="16" t="s">
        <v>14</v>
      </c>
      <c r="D167" s="16"/>
      <c r="E167" s="16"/>
      <c r="F167" s="16"/>
    </row>
    <row r="168" spans="1:6">
      <c r="A168" s="17" t="s">
        <v>132</v>
      </c>
      <c r="B168" s="17">
        <v>7.77777777777778E-7</v>
      </c>
      <c r="C168" s="16" t="s">
        <v>14</v>
      </c>
      <c r="D168" s="16"/>
      <c r="E168" s="16"/>
      <c r="F168" s="16"/>
    </row>
    <row r="169" spans="1:6">
      <c r="A169" s="17" t="s">
        <v>153</v>
      </c>
      <c r="B169" s="16">
        <v>6.22222222222222E-2</v>
      </c>
      <c r="C169" s="16" t="s">
        <v>14</v>
      </c>
      <c r="D169" s="16"/>
      <c r="E169" s="16"/>
      <c r="F169" s="16"/>
    </row>
    <row r="170" spans="1:6">
      <c r="A170" s="17" t="s">
        <v>154</v>
      </c>
      <c r="B170" s="17">
        <v>1.5555555555555599E-5</v>
      </c>
      <c r="C170" s="16" t="s">
        <v>14</v>
      </c>
      <c r="D170" s="16"/>
      <c r="E170" s="16"/>
      <c r="F170" s="16"/>
    </row>
    <row r="171" spans="1:6">
      <c r="A171" s="17" t="s">
        <v>93</v>
      </c>
      <c r="B171" s="17">
        <v>1.11111111111111E-7</v>
      </c>
      <c r="C171" s="16" t="s">
        <v>14</v>
      </c>
      <c r="D171" s="16"/>
      <c r="E171" s="16"/>
      <c r="F171" s="16"/>
    </row>
    <row r="172" spans="1:6">
      <c r="A172" s="16" t="s">
        <v>134</v>
      </c>
      <c r="B172" s="17">
        <v>3.3333333333333298E-17</v>
      </c>
      <c r="C172" s="16" t="s">
        <v>14</v>
      </c>
      <c r="D172" s="16"/>
      <c r="E172" s="16"/>
      <c r="F172" s="17"/>
    </row>
    <row r="173" spans="1:6">
      <c r="A173" s="16" t="s">
        <v>135</v>
      </c>
      <c r="B173" s="17">
        <v>1.11111111111111E-7</v>
      </c>
      <c r="C173" s="16" t="s">
        <v>14</v>
      </c>
      <c r="D173" s="16"/>
      <c r="E173" s="17"/>
      <c r="F173" s="16"/>
    </row>
    <row r="174" spans="1:6">
      <c r="A174" s="17" t="s">
        <v>136</v>
      </c>
      <c r="B174" s="17">
        <v>3.3333333333333302E-11</v>
      </c>
      <c r="C174" s="16" t="s">
        <v>14</v>
      </c>
      <c r="D174" s="16"/>
      <c r="E174" s="16"/>
      <c r="F174" s="16"/>
    </row>
    <row r="175" spans="1:6">
      <c r="A175" s="16" t="s">
        <v>155</v>
      </c>
      <c r="B175" s="17">
        <v>2.22222222222222E-6</v>
      </c>
      <c r="C175" s="16" t="s">
        <v>14</v>
      </c>
      <c r="D175" s="16"/>
      <c r="E175" s="16"/>
      <c r="F175" s="16"/>
    </row>
    <row r="176" spans="1:6">
      <c r="A176" s="16" t="s">
        <v>139</v>
      </c>
      <c r="B176" s="17">
        <v>2.5555555555555602E-5</v>
      </c>
      <c r="C176" s="16" t="s">
        <v>14</v>
      </c>
      <c r="D176" s="16"/>
      <c r="E176" s="16"/>
      <c r="F176" s="16"/>
    </row>
    <row r="177" spans="1:6">
      <c r="A177" s="16" t="s">
        <v>140</v>
      </c>
      <c r="B177" s="17">
        <v>1.11111111111111E-8</v>
      </c>
      <c r="C177" s="16" t="s">
        <v>14</v>
      </c>
      <c r="D177" s="16"/>
      <c r="E177" s="16"/>
      <c r="F177" s="16"/>
    </row>
    <row r="178" spans="1:6">
      <c r="A178" s="16" t="s">
        <v>141</v>
      </c>
      <c r="B178" s="17">
        <v>1.11111111111111E-7</v>
      </c>
      <c r="C178" s="16" t="s">
        <v>14</v>
      </c>
      <c r="D178" s="16"/>
      <c r="E178" s="16"/>
      <c r="F178" s="16"/>
    </row>
    <row r="179" spans="1:6">
      <c r="A179" s="17" t="s">
        <v>142</v>
      </c>
      <c r="B179" s="17">
        <v>1.33333333333333E-6</v>
      </c>
      <c r="C179" s="16" t="s">
        <v>14</v>
      </c>
      <c r="D179" s="16"/>
      <c r="E179" s="16"/>
      <c r="F179" s="16"/>
    </row>
    <row r="180" spans="1:6">
      <c r="A180" s="17" t="s">
        <v>143</v>
      </c>
      <c r="B180" s="17">
        <v>2.2222222222222201E-7</v>
      </c>
      <c r="C180" s="16" t="s">
        <v>14</v>
      </c>
      <c r="D180" s="16"/>
      <c r="E180" s="16"/>
      <c r="F180" s="16"/>
    </row>
    <row r="181" spans="1:6">
      <c r="A181" s="16" t="s">
        <v>144</v>
      </c>
      <c r="B181" s="17">
        <v>2.2222222222222201E-8</v>
      </c>
      <c r="C181" s="16" t="s">
        <v>14</v>
      </c>
      <c r="D181" s="16"/>
      <c r="E181" s="16"/>
      <c r="F181" s="16"/>
    </row>
    <row r="182" spans="1:6">
      <c r="A182" s="16" t="s">
        <v>120</v>
      </c>
      <c r="B182" s="17">
        <v>6.1111111111111095E-7</v>
      </c>
      <c r="C182" s="16" t="s">
        <v>14</v>
      </c>
      <c r="D182" s="16"/>
      <c r="E182" s="16"/>
      <c r="F182" s="16"/>
    </row>
    <row r="183" spans="1:6">
      <c r="A183" s="17" t="s">
        <v>147</v>
      </c>
      <c r="B183" s="17">
        <v>2.2222222222222201E-7</v>
      </c>
      <c r="C183" s="16" t="s">
        <v>14</v>
      </c>
      <c r="D183" s="16"/>
      <c r="E183" s="16"/>
      <c r="F183" s="16"/>
    </row>
    <row r="187" spans="1:6">
      <c r="B187" s="3"/>
    </row>
    <row r="188" spans="1:6">
      <c r="B188" s="3"/>
    </row>
    <row r="189" spans="1:6">
      <c r="B189" s="3"/>
    </row>
    <row r="196" spans="1:5">
      <c r="E196" s="3"/>
    </row>
    <row r="197" spans="1:5">
      <c r="B197" s="3"/>
      <c r="E197" s="3"/>
    </row>
    <row r="198" spans="1:5">
      <c r="B198" s="3"/>
      <c r="C198" s="3"/>
      <c r="E198" s="3"/>
    </row>
    <row r="199" spans="1:5">
      <c r="B199" s="3"/>
      <c r="C199" s="3"/>
      <c r="E199" s="3"/>
    </row>
    <row r="200" spans="1:5">
      <c r="B200" s="3"/>
      <c r="E200" s="3"/>
    </row>
    <row r="201" spans="1:5">
      <c r="B201" s="3"/>
    </row>
    <row r="202" spans="1:5">
      <c r="A202" s="3"/>
      <c r="B202" s="3"/>
    </row>
    <row r="338" spans="6:6">
      <c r="F338" s="3"/>
    </row>
    <row r="362" spans="6:6">
      <c r="F362" s="3"/>
    </row>
    <row r="363" spans="6:6">
      <c r="F363" s="3"/>
    </row>
    <row r="364" spans="6:6">
      <c r="F364" s="3"/>
    </row>
    <row r="365" spans="6:6">
      <c r="F365" s="3"/>
    </row>
    <row r="366" spans="6:6">
      <c r="F366" s="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6F713-9799-4F27-B97C-D1F4C51B9AFD}">
  <dimension ref="A1:F202"/>
  <sheetViews>
    <sheetView zoomScale="40" zoomScaleNormal="40" workbookViewId="0">
      <selection activeCell="F70" sqref="F70"/>
    </sheetView>
  </sheetViews>
  <sheetFormatPr baseColWidth="10" defaultColWidth="9" defaultRowHeight="14.25"/>
  <cols>
    <col min="1" max="1" width="78.125" customWidth="1"/>
    <col min="2" max="2" width="79" customWidth="1"/>
    <col min="3" max="3" width="21.75" customWidth="1"/>
    <col min="4" max="4" width="28" customWidth="1"/>
    <col min="5" max="5" width="99.75" bestFit="1" customWidth="1"/>
    <col min="6" max="6" width="45.375" customWidth="1"/>
  </cols>
  <sheetData>
    <row r="1" spans="1:6" ht="15">
      <c r="A1" s="6" t="s">
        <v>6</v>
      </c>
      <c r="B1" s="6" t="s">
        <v>7</v>
      </c>
      <c r="C1" s="6" t="s">
        <v>8</v>
      </c>
      <c r="D1" s="6" t="s">
        <v>9</v>
      </c>
      <c r="E1" s="6" t="s">
        <v>10</v>
      </c>
      <c r="F1" s="6" t="s">
        <v>11</v>
      </c>
    </row>
    <row r="3" spans="1:6" ht="15">
      <c r="A3" s="36" t="s">
        <v>159</v>
      </c>
      <c r="B3" s="35"/>
      <c r="C3" s="35"/>
      <c r="D3" s="35"/>
      <c r="E3" s="35"/>
      <c r="F3" s="35"/>
    </row>
    <row r="4" spans="1:6">
      <c r="A4" s="35" t="s">
        <v>338</v>
      </c>
      <c r="B4" s="35">
        <v>0.1</v>
      </c>
      <c r="C4" s="35" t="s">
        <v>14</v>
      </c>
      <c r="D4" s="35" t="s">
        <v>339</v>
      </c>
      <c r="E4" s="35"/>
      <c r="F4" s="35"/>
    </row>
    <row r="5" spans="1:6">
      <c r="A5" s="35" t="s">
        <v>340</v>
      </c>
      <c r="B5" s="35">
        <v>0.76400000000000001</v>
      </c>
      <c r="C5" s="35"/>
      <c r="D5" s="35"/>
      <c r="E5" s="35"/>
      <c r="F5" s="35"/>
    </row>
    <row r="6" spans="1:6">
      <c r="A6" s="35" t="s">
        <v>160</v>
      </c>
      <c r="B6" s="35">
        <v>1.2210000000000001</v>
      </c>
      <c r="C6" s="35" t="s">
        <v>17</v>
      </c>
      <c r="D6" s="35"/>
      <c r="E6" s="35"/>
      <c r="F6" s="35"/>
    </row>
    <row r="7" spans="1:6">
      <c r="A7" s="42" t="s">
        <v>341</v>
      </c>
      <c r="B7" s="35">
        <v>0.56200000000000006</v>
      </c>
      <c r="C7" s="35"/>
      <c r="D7" s="35" t="s">
        <v>162</v>
      </c>
      <c r="E7" s="35"/>
      <c r="F7" s="35"/>
    </row>
    <row r="8" spans="1:6">
      <c r="A8" s="42" t="s">
        <v>342</v>
      </c>
      <c r="B8" s="35">
        <v>0.42299999999999999</v>
      </c>
      <c r="C8" s="35"/>
      <c r="D8" s="35" t="s">
        <v>162</v>
      </c>
      <c r="E8" s="35"/>
      <c r="F8" s="35"/>
    </row>
    <row r="9" spans="1:6">
      <c r="A9" s="42" t="s">
        <v>343</v>
      </c>
      <c r="B9" s="35">
        <v>1.4999999999999999E-2</v>
      </c>
      <c r="C9" s="35"/>
      <c r="D9" s="35" t="s">
        <v>162</v>
      </c>
      <c r="E9" s="35"/>
      <c r="F9" s="35"/>
    </row>
    <row r="10" spans="1:6">
      <c r="A10" s="42" t="s">
        <v>344</v>
      </c>
      <c r="B10" s="35">
        <v>0.76200000000000001</v>
      </c>
      <c r="C10" s="35"/>
      <c r="D10" s="35" t="s">
        <v>162</v>
      </c>
      <c r="E10" s="35"/>
      <c r="F10" s="35"/>
    </row>
    <row r="11" spans="1:6">
      <c r="A11" s="35" t="s">
        <v>166</v>
      </c>
      <c r="B11" s="35">
        <v>4.3249999999999997E-2</v>
      </c>
      <c r="C11" s="35" t="s">
        <v>14</v>
      </c>
      <c r="D11" s="35" t="s">
        <v>167</v>
      </c>
      <c r="E11" s="35"/>
      <c r="F11" s="35"/>
    </row>
    <row r="12" spans="1:6">
      <c r="A12" s="42" t="s">
        <v>168</v>
      </c>
      <c r="B12" s="35">
        <f>B17/27</f>
        <v>0.97777777777777775</v>
      </c>
      <c r="C12" s="35"/>
      <c r="D12" s="35" t="s">
        <v>169</v>
      </c>
      <c r="E12" s="35"/>
      <c r="F12" s="35"/>
    </row>
    <row r="13" spans="1:6">
      <c r="A13" s="42" t="s">
        <v>345</v>
      </c>
      <c r="B13" s="35">
        <f>13.1*4</f>
        <v>52.4</v>
      </c>
      <c r="C13" s="35" t="s">
        <v>171</v>
      </c>
      <c r="D13" s="35" t="s">
        <v>172</v>
      </c>
      <c r="E13" s="35"/>
      <c r="F13" s="35"/>
    </row>
    <row r="14" spans="1:6">
      <c r="A14" s="42" t="s">
        <v>346</v>
      </c>
      <c r="B14" s="35">
        <v>0.23580000000000001</v>
      </c>
      <c r="C14" s="35" t="s">
        <v>174</v>
      </c>
      <c r="D14" s="35" t="s">
        <v>172</v>
      </c>
      <c r="E14" s="35"/>
      <c r="F14" s="35"/>
    </row>
    <row r="15" spans="1:6">
      <c r="A15" s="35" t="s">
        <v>22</v>
      </c>
      <c r="B15" s="35">
        <v>1.53579</v>
      </c>
      <c r="C15" s="35" t="s">
        <v>23</v>
      </c>
      <c r="D15" s="35"/>
      <c r="E15" s="35"/>
      <c r="F15" s="35"/>
    </row>
    <row r="16" spans="1:6">
      <c r="A16" s="35" t="s">
        <v>24</v>
      </c>
      <c r="B16" s="35">
        <v>2.513E-2</v>
      </c>
      <c r="C16" s="35" t="s">
        <v>23</v>
      </c>
      <c r="D16" s="35"/>
      <c r="E16" s="35"/>
      <c r="F16" s="35"/>
    </row>
    <row r="17" spans="1:6">
      <c r="A17" s="35" t="s">
        <v>374</v>
      </c>
      <c r="B17" s="35">
        <f>26.4</f>
        <v>26.4</v>
      </c>
      <c r="C17" s="35" t="s">
        <v>177</v>
      </c>
      <c r="D17" s="35"/>
      <c r="E17" s="35"/>
      <c r="F17" s="35"/>
    </row>
    <row r="18" spans="1:6">
      <c r="A18" s="35" t="s">
        <v>362</v>
      </c>
      <c r="B18" s="35">
        <f>1.1/100</f>
        <v>1.1000000000000001E-2</v>
      </c>
      <c r="C18" s="35"/>
      <c r="D18" s="35" t="s">
        <v>172</v>
      </c>
      <c r="E18" s="35"/>
      <c r="F18" s="35"/>
    </row>
    <row r="19" spans="1:6">
      <c r="A19" s="35" t="s">
        <v>363</v>
      </c>
      <c r="B19" s="35">
        <f>5.2/100</f>
        <v>5.2000000000000005E-2</v>
      </c>
      <c r="C19" s="35"/>
      <c r="D19" s="35" t="s">
        <v>172</v>
      </c>
      <c r="E19" s="35"/>
      <c r="F19" s="35"/>
    </row>
    <row r="20" spans="1:6">
      <c r="A20" s="35" t="s">
        <v>364</v>
      </c>
      <c r="B20" s="35">
        <f>3/100</f>
        <v>0.03</v>
      </c>
      <c r="C20" s="35"/>
      <c r="D20" s="35" t="s">
        <v>172</v>
      </c>
      <c r="E20" s="35"/>
      <c r="F20" s="35"/>
    </row>
    <row r="21" spans="1:6">
      <c r="A21" s="35" t="s">
        <v>39</v>
      </c>
      <c r="B21" s="35">
        <v>142</v>
      </c>
      <c r="C21" s="35" t="s">
        <v>40</v>
      </c>
      <c r="D21" s="35"/>
      <c r="E21" s="35"/>
      <c r="F21" s="35"/>
    </row>
    <row r="22" spans="1:6">
      <c r="A22" s="35" t="s">
        <v>41</v>
      </c>
      <c r="B22" s="35">
        <f>39*2+16</f>
        <v>94</v>
      </c>
      <c r="C22" s="35" t="s">
        <v>40</v>
      </c>
      <c r="D22" s="35"/>
      <c r="E22" s="35"/>
      <c r="F22" s="35"/>
    </row>
    <row r="24" spans="1:6" ht="15">
      <c r="A24" s="34" t="s">
        <v>178</v>
      </c>
      <c r="B24" s="28"/>
      <c r="C24" s="28"/>
      <c r="D24" s="28"/>
      <c r="E24" s="28"/>
      <c r="F24" s="28"/>
    </row>
    <row r="25" spans="1:6" ht="15">
      <c r="A25" s="27" t="s">
        <v>44</v>
      </c>
      <c r="B25" s="28"/>
      <c r="C25" s="28"/>
      <c r="D25" s="28"/>
      <c r="E25" s="28"/>
      <c r="F25" s="28"/>
    </row>
    <row r="26" spans="1:6">
      <c r="A26" s="28" t="s">
        <v>45</v>
      </c>
      <c r="B26" s="28">
        <v>1</v>
      </c>
      <c r="C26" s="28" t="s">
        <v>46</v>
      </c>
      <c r="D26" s="28"/>
      <c r="E26" s="28"/>
      <c r="F26" s="28"/>
    </row>
    <row r="27" spans="1:6">
      <c r="A27" s="28" t="s">
        <v>47</v>
      </c>
      <c r="B27" s="28">
        <v>0.15650723831737146</v>
      </c>
      <c r="C27" s="28" t="s">
        <v>46</v>
      </c>
      <c r="D27" s="28"/>
      <c r="E27" s="28"/>
      <c r="F27" s="28"/>
    </row>
    <row r="28" spans="1:6">
      <c r="A28" s="28" t="s">
        <v>48</v>
      </c>
      <c r="B28" s="28">
        <v>1</v>
      </c>
      <c r="C28" s="28" t="s">
        <v>46</v>
      </c>
      <c r="D28" s="28"/>
      <c r="E28" s="28"/>
      <c r="F28" s="28"/>
    </row>
    <row r="29" spans="1:6">
      <c r="A29" s="28" t="s">
        <v>49</v>
      </c>
      <c r="B29" s="28">
        <v>6.2279044296606232</v>
      </c>
      <c r="C29" s="28" t="s">
        <v>46</v>
      </c>
      <c r="D29" s="28"/>
      <c r="E29" s="28"/>
      <c r="F29" s="28"/>
    </row>
    <row r="30" spans="1:6">
      <c r="A30" s="28" t="s">
        <v>51</v>
      </c>
      <c r="B30" s="28">
        <v>-6.2279044296606232</v>
      </c>
      <c r="C30" s="28" t="s">
        <v>50</v>
      </c>
      <c r="D30" s="28"/>
      <c r="E30" s="28"/>
      <c r="F30" s="28" t="s">
        <v>52</v>
      </c>
    </row>
    <row r="31" spans="1:6">
      <c r="A31" s="28" t="s">
        <v>53</v>
      </c>
      <c r="B31" s="28">
        <v>1</v>
      </c>
      <c r="C31" s="28" t="s">
        <v>46</v>
      </c>
      <c r="D31" s="28"/>
      <c r="E31" s="28"/>
      <c r="F31" s="28"/>
    </row>
    <row r="32" spans="1:6">
      <c r="A32" s="28" t="s">
        <v>54</v>
      </c>
      <c r="B32" s="29">
        <v>1</v>
      </c>
      <c r="C32" s="28" t="s">
        <v>46</v>
      </c>
      <c r="D32" s="28"/>
      <c r="E32" s="28"/>
      <c r="F32" s="28"/>
    </row>
    <row r="33" spans="1:6">
      <c r="A33" s="28" t="s">
        <v>179</v>
      </c>
      <c r="B33" s="28">
        <v>1</v>
      </c>
      <c r="C33" s="28" t="s">
        <v>46</v>
      </c>
      <c r="D33" s="28"/>
      <c r="E33" s="28"/>
      <c r="F33" s="28"/>
    </row>
    <row r="34" spans="1:6">
      <c r="A34" s="28" t="s">
        <v>180</v>
      </c>
      <c r="B34" s="28">
        <v>1</v>
      </c>
      <c r="C34" s="28" t="s">
        <v>46</v>
      </c>
      <c r="D34" s="28"/>
      <c r="E34" s="28"/>
      <c r="F34" s="28"/>
    </row>
    <row r="35" spans="1:6">
      <c r="A35" s="28" t="s">
        <v>184</v>
      </c>
      <c r="B35" s="28">
        <v>1</v>
      </c>
      <c r="C35" s="28" t="s">
        <v>46</v>
      </c>
      <c r="D35" s="28"/>
      <c r="E35" s="28"/>
      <c r="F35" s="28"/>
    </row>
    <row r="36" spans="1:6">
      <c r="A36" s="28" t="s">
        <v>185</v>
      </c>
      <c r="B36" s="29">
        <f>(B87/1000)/B15</f>
        <v>8.302536774345622E-4</v>
      </c>
      <c r="C36" s="28" t="s">
        <v>46</v>
      </c>
      <c r="D36" s="28"/>
      <c r="E36" s="28"/>
      <c r="F36" s="28"/>
    </row>
    <row r="37" spans="1:6">
      <c r="A37" s="28" t="s">
        <v>186</v>
      </c>
      <c r="B37" s="29">
        <f>B36/B16</f>
        <v>3.3038347689397618E-2</v>
      </c>
      <c r="C37" s="28" t="s">
        <v>46</v>
      </c>
      <c r="D37" s="28"/>
      <c r="E37" s="28"/>
      <c r="F37" s="28"/>
    </row>
    <row r="38" spans="1:6">
      <c r="A38" s="28" t="s">
        <v>366</v>
      </c>
      <c r="B38" s="29">
        <f>-B37</f>
        <v>-3.3038347689397618E-2</v>
      </c>
      <c r="C38" s="28" t="s">
        <v>50</v>
      </c>
      <c r="D38" s="28"/>
      <c r="E38" s="28"/>
      <c r="F38" s="28" t="s">
        <v>52</v>
      </c>
    </row>
    <row r="39" spans="1:6">
      <c r="A39" s="28" t="s">
        <v>55</v>
      </c>
      <c r="B39" s="54">
        <v>-2.2793296089385481E-3</v>
      </c>
      <c r="C39" s="28" t="s">
        <v>14</v>
      </c>
      <c r="D39" s="28"/>
      <c r="E39" s="28"/>
      <c r="F39" s="28" t="s">
        <v>56</v>
      </c>
    </row>
    <row r="40" spans="1:6">
      <c r="A40" s="28" t="s">
        <v>57</v>
      </c>
      <c r="B40" s="54">
        <v>-2.4883907010272131E-4</v>
      </c>
      <c r="C40" s="28" t="s">
        <v>14</v>
      </c>
      <c r="D40" s="28"/>
      <c r="E40" s="28"/>
      <c r="F40" s="28" t="s">
        <v>58</v>
      </c>
    </row>
    <row r="41" spans="1:6">
      <c r="A41" s="28" t="s">
        <v>59</v>
      </c>
      <c r="B41" s="54">
        <v>-9.5225325884543794E-5</v>
      </c>
      <c r="C41" s="28" t="s">
        <v>14</v>
      </c>
      <c r="D41" s="28"/>
      <c r="E41" s="28"/>
      <c r="F41" s="28" t="s">
        <v>60</v>
      </c>
    </row>
    <row r="42" spans="1:6">
      <c r="A42" s="28"/>
      <c r="B42" s="28"/>
      <c r="C42" s="28"/>
      <c r="D42" s="28"/>
      <c r="E42" s="28"/>
      <c r="F42" s="28"/>
    </row>
    <row r="43" spans="1:6" ht="15">
      <c r="A43" s="27" t="s">
        <v>61</v>
      </c>
      <c r="B43" s="28"/>
      <c r="C43" s="28"/>
      <c r="D43" s="28"/>
      <c r="E43" s="28"/>
      <c r="F43" s="28"/>
    </row>
    <row r="44" spans="1:6">
      <c r="A44" s="28" t="s">
        <v>62</v>
      </c>
      <c r="B44" s="28">
        <v>1</v>
      </c>
      <c r="C44" s="28" t="s">
        <v>14</v>
      </c>
      <c r="D44" s="28"/>
      <c r="E44" s="28"/>
      <c r="F44" s="28"/>
    </row>
    <row r="46" spans="1:6" ht="15">
      <c r="A46" s="1" t="s">
        <v>317</v>
      </c>
    </row>
    <row r="47" spans="1:6" ht="15">
      <c r="A47" s="31" t="s">
        <v>333</v>
      </c>
      <c r="B47" s="19"/>
      <c r="C47" s="19"/>
      <c r="D47" s="19"/>
      <c r="E47" s="19"/>
      <c r="F47" s="19"/>
    </row>
    <row r="48" spans="1:6" ht="15">
      <c r="A48" s="18" t="s">
        <v>44</v>
      </c>
      <c r="B48" s="19"/>
      <c r="C48" s="19"/>
      <c r="D48" s="19"/>
      <c r="E48" s="19"/>
      <c r="F48" s="19"/>
    </row>
    <row r="49" spans="1:6">
      <c r="A49" s="19" t="s">
        <v>64</v>
      </c>
      <c r="B49" s="19">
        <f>20/1500</f>
        <v>1.3333333333333334E-2</v>
      </c>
      <c r="C49" s="19" t="s">
        <v>65</v>
      </c>
      <c r="D49" s="19"/>
      <c r="E49" s="19" t="s">
        <v>75</v>
      </c>
      <c r="F49" s="19" t="s">
        <v>68</v>
      </c>
    </row>
    <row r="50" spans="1:6">
      <c r="A50" s="19" t="s">
        <v>69</v>
      </c>
      <c r="B50" s="19">
        <f>2000/(20*3000*1500)</f>
        <v>2.2222222222222223E-5</v>
      </c>
      <c r="C50" s="19" t="s">
        <v>70</v>
      </c>
      <c r="D50" s="19"/>
      <c r="E50" s="19"/>
      <c r="F50" s="19" t="s">
        <v>72</v>
      </c>
    </row>
    <row r="51" spans="1:6">
      <c r="A51" s="19"/>
      <c r="B51" s="19"/>
      <c r="C51" s="19"/>
      <c r="D51" s="19"/>
      <c r="E51" s="19"/>
      <c r="F51" s="19"/>
    </row>
    <row r="52" spans="1:6" ht="15">
      <c r="A52" s="18" t="s">
        <v>76</v>
      </c>
      <c r="B52" s="19"/>
      <c r="C52" s="19"/>
      <c r="D52" s="19"/>
      <c r="E52" s="19"/>
      <c r="F52" s="19"/>
    </row>
    <row r="53" spans="1:6">
      <c r="A53" s="19" t="s">
        <v>53</v>
      </c>
      <c r="B53" s="19">
        <v>1</v>
      </c>
      <c r="C53" s="19" t="s">
        <v>73</v>
      </c>
      <c r="D53" s="19"/>
      <c r="E53" s="19"/>
      <c r="F53" s="19"/>
    </row>
    <row r="54" spans="1:6">
      <c r="A54" s="43" t="s">
        <v>334</v>
      </c>
      <c r="B54" s="43">
        <v>0.1</v>
      </c>
      <c r="C54" s="43" t="s">
        <v>14</v>
      </c>
      <c r="D54" s="19"/>
      <c r="E54" s="19"/>
      <c r="F54" s="19" t="s">
        <v>78</v>
      </c>
    </row>
    <row r="56" spans="1:6" ht="15">
      <c r="A56" s="18" t="s">
        <v>189</v>
      </c>
      <c r="B56" s="19"/>
      <c r="C56" s="19"/>
      <c r="D56" s="19"/>
      <c r="E56" s="19"/>
      <c r="F56" s="19"/>
    </row>
    <row r="57" spans="1:6" ht="15">
      <c r="A57" s="18" t="s">
        <v>44</v>
      </c>
      <c r="B57" s="19"/>
      <c r="C57" s="19"/>
      <c r="D57" s="19"/>
      <c r="E57" s="19"/>
      <c r="F57" s="19"/>
    </row>
    <row r="58" spans="1:6">
      <c r="A58" s="19" t="s">
        <v>85</v>
      </c>
      <c r="B58" s="19">
        <v>4.8703624122618545E-3</v>
      </c>
      <c r="C58" s="19" t="s">
        <v>65</v>
      </c>
      <c r="D58" s="19" t="s">
        <v>97</v>
      </c>
      <c r="E58" s="19" t="s">
        <v>98</v>
      </c>
      <c r="F58" s="19" t="s">
        <v>68</v>
      </c>
    </row>
    <row r="59" spans="1:6">
      <c r="A59" s="19" t="s">
        <v>99</v>
      </c>
      <c r="B59" s="20">
        <v>6.4102564102564103E-5</v>
      </c>
      <c r="C59" s="19" t="s">
        <v>14</v>
      </c>
      <c r="D59" s="19" t="s">
        <v>100</v>
      </c>
      <c r="E59" s="19" t="s">
        <v>101</v>
      </c>
      <c r="F59" s="19" t="s">
        <v>72</v>
      </c>
    </row>
    <row r="60" spans="1:6">
      <c r="A60" s="19"/>
      <c r="B60" s="19"/>
      <c r="C60" s="19"/>
      <c r="D60" s="19"/>
      <c r="E60" s="19"/>
      <c r="F60" s="19"/>
    </row>
    <row r="61" spans="1:6" ht="15">
      <c r="A61" s="18" t="s">
        <v>76</v>
      </c>
      <c r="B61" s="19"/>
      <c r="C61" s="19"/>
      <c r="D61" s="19"/>
      <c r="E61" s="19"/>
      <c r="F61" s="19"/>
    </row>
    <row r="62" spans="1:6">
      <c r="A62" s="19" t="s">
        <v>189</v>
      </c>
      <c r="B62" s="19">
        <v>1</v>
      </c>
      <c r="C62" s="19" t="s">
        <v>46</v>
      </c>
      <c r="D62" s="19"/>
      <c r="E62" s="19"/>
      <c r="F62" s="19"/>
    </row>
    <row r="63" spans="1:6">
      <c r="A63" s="19" t="s">
        <v>190</v>
      </c>
      <c r="B63" s="20">
        <f>0.253258845437616/1000</f>
        <v>2.5325884543761599E-4</v>
      </c>
      <c r="C63" s="19" t="s">
        <v>23</v>
      </c>
      <c r="D63" s="19"/>
      <c r="E63" s="19"/>
      <c r="F63" s="19" t="s">
        <v>104</v>
      </c>
    </row>
    <row r="64" spans="1:6">
      <c r="A64" s="19" t="s">
        <v>105</v>
      </c>
      <c r="B64" s="20">
        <v>0.2532588454376164</v>
      </c>
      <c r="C64" s="19" t="s">
        <v>14</v>
      </c>
      <c r="D64" s="19"/>
      <c r="E64" s="19"/>
      <c r="F64" s="19" t="s">
        <v>348</v>
      </c>
    </row>
    <row r="66" spans="1:6" ht="15">
      <c r="A66" s="15" t="s">
        <v>335</v>
      </c>
      <c r="B66" s="16"/>
      <c r="C66" s="16"/>
      <c r="D66" s="16"/>
      <c r="E66" s="16"/>
      <c r="F66" s="16"/>
    </row>
    <row r="67" spans="1:6" ht="15">
      <c r="A67" s="15" t="s">
        <v>44</v>
      </c>
      <c r="B67" s="16"/>
      <c r="C67" s="16"/>
      <c r="D67" s="16"/>
      <c r="E67" s="16"/>
      <c r="F67" s="16"/>
    </row>
    <row r="68" spans="1:6">
      <c r="A68" s="16" t="s">
        <v>64</v>
      </c>
      <c r="B68" s="17">
        <f>0.3*(B4+B70)</f>
        <v>3.5399999999999994E-2</v>
      </c>
      <c r="C68" s="16" t="s">
        <v>65</v>
      </c>
      <c r="D68" s="16"/>
      <c r="E68" s="16" t="s">
        <v>321</v>
      </c>
      <c r="F68" s="16" t="s">
        <v>68</v>
      </c>
    </row>
    <row r="69" spans="1:6">
      <c r="A69" s="16" t="s">
        <v>99</v>
      </c>
      <c r="B69" s="17">
        <v>2.2222222222222223E-5</v>
      </c>
      <c r="C69" s="16" t="s">
        <v>70</v>
      </c>
      <c r="D69" s="16"/>
      <c r="E69" s="16" t="s">
        <v>198</v>
      </c>
      <c r="F69" s="16" t="s">
        <v>72</v>
      </c>
    </row>
    <row r="70" spans="1:6">
      <c r="A70" s="16" t="s">
        <v>349</v>
      </c>
      <c r="B70" s="17">
        <f>(B4*(1-B5)-B4*0.2)/0.2</f>
        <v>1.7999999999999978E-2</v>
      </c>
      <c r="C70" s="16" t="s">
        <v>14</v>
      </c>
      <c r="D70" s="16" t="s">
        <v>200</v>
      </c>
      <c r="E70" s="16"/>
      <c r="F70" s="16" t="s">
        <v>201</v>
      </c>
    </row>
    <row r="71" spans="1:6">
      <c r="A71" s="16"/>
      <c r="B71" s="16"/>
      <c r="C71" s="16"/>
      <c r="D71" s="16"/>
      <c r="E71" s="16"/>
      <c r="F71" s="16"/>
    </row>
    <row r="72" spans="1:6" ht="15">
      <c r="A72" s="15" t="s">
        <v>61</v>
      </c>
      <c r="B72" s="16"/>
      <c r="C72" s="16"/>
      <c r="D72" s="16"/>
      <c r="E72" s="16"/>
      <c r="F72" s="16"/>
    </row>
    <row r="73" spans="1:6">
      <c r="A73" s="16" t="s">
        <v>350</v>
      </c>
      <c r="B73" s="16">
        <v>1</v>
      </c>
      <c r="C73" s="16" t="s">
        <v>46</v>
      </c>
      <c r="D73" s="16"/>
      <c r="E73" s="16"/>
      <c r="F73" s="16"/>
    </row>
    <row r="74" spans="1:6">
      <c r="A74" s="16" t="s">
        <v>203</v>
      </c>
      <c r="B74" s="17">
        <f>B4*(1-B5)*B7/(1-B10)</f>
        <v>5.5727731092436984E-2</v>
      </c>
      <c r="C74" s="16" t="s">
        <v>14</v>
      </c>
      <c r="D74" s="16"/>
      <c r="E74" s="16"/>
      <c r="F74" s="16"/>
    </row>
    <row r="75" spans="1:6">
      <c r="A75" s="16" t="s">
        <v>204</v>
      </c>
      <c r="B75" s="17">
        <f>(B4+B70)-(B74+B76+B77)</f>
        <v>6.1918268907562996E-2</v>
      </c>
      <c r="C75" s="16" t="s">
        <v>14</v>
      </c>
      <c r="D75" s="16"/>
      <c r="E75" s="16"/>
      <c r="F75" s="16"/>
    </row>
    <row r="76" spans="1:6">
      <c r="A76" s="16" t="s">
        <v>92</v>
      </c>
      <c r="B76" s="17">
        <f>B4*B9*(1-B5)*0.95</f>
        <v>3.3629999999999999E-4</v>
      </c>
      <c r="C76" s="16" t="s">
        <v>14</v>
      </c>
      <c r="D76" s="16"/>
      <c r="E76" s="16" t="s">
        <v>205</v>
      </c>
      <c r="F76" s="16"/>
    </row>
    <row r="77" spans="1:6">
      <c r="A77" s="16" t="s">
        <v>133</v>
      </c>
      <c r="B77" s="17">
        <f>B4*B9*(1-B5)*0.05</f>
        <v>1.77E-5</v>
      </c>
      <c r="C77" s="16" t="s">
        <v>14</v>
      </c>
      <c r="D77" s="16"/>
      <c r="E77" s="16"/>
      <c r="F77" s="16"/>
    </row>
    <row r="79" spans="1:6" ht="15">
      <c r="A79" s="27" t="s">
        <v>184</v>
      </c>
      <c r="B79" s="39" t="s">
        <v>80</v>
      </c>
      <c r="C79" s="29">
        <v>1</v>
      </c>
      <c r="D79" s="28"/>
      <c r="E79" s="28" t="s">
        <v>286</v>
      </c>
      <c r="F79" s="28"/>
    </row>
    <row r="80" spans="1:6" ht="15">
      <c r="A80" s="27" t="s">
        <v>44</v>
      </c>
      <c r="B80" s="28"/>
      <c r="C80" s="28"/>
      <c r="D80" s="28"/>
      <c r="E80" s="28"/>
      <c r="F80" s="28"/>
    </row>
    <row r="81" spans="1:6">
      <c r="A81" s="28" t="s">
        <v>287</v>
      </c>
      <c r="B81" s="28">
        <v>0</v>
      </c>
      <c r="C81" s="28" t="s">
        <v>73</v>
      </c>
      <c r="D81" s="28"/>
      <c r="E81" s="28"/>
      <c r="F81" s="28" t="s">
        <v>84</v>
      </c>
    </row>
    <row r="82" spans="1:6">
      <c r="A82" s="28" t="s">
        <v>85</v>
      </c>
      <c r="B82" s="28">
        <v>0</v>
      </c>
      <c r="C82" s="28" t="s">
        <v>65</v>
      </c>
      <c r="D82" s="28"/>
      <c r="E82" s="28"/>
      <c r="F82" s="28" t="s">
        <v>68</v>
      </c>
    </row>
    <row r="83" spans="1:6">
      <c r="A83" s="28" t="s">
        <v>288</v>
      </c>
      <c r="B83" s="28">
        <v>0</v>
      </c>
      <c r="C83" s="28" t="s">
        <v>50</v>
      </c>
      <c r="D83" s="28"/>
      <c r="E83" s="28"/>
      <c r="F83" s="28" t="s">
        <v>88</v>
      </c>
    </row>
    <row r="84" spans="1:6">
      <c r="A84" s="28"/>
      <c r="B84" s="28"/>
      <c r="C84" s="28"/>
      <c r="D84" s="28"/>
      <c r="E84" s="28"/>
      <c r="F84" s="28"/>
    </row>
    <row r="85" spans="1:6" ht="15">
      <c r="A85" s="27" t="s">
        <v>76</v>
      </c>
      <c r="B85" s="28"/>
      <c r="C85" s="28"/>
      <c r="D85" s="28"/>
      <c r="E85" s="28"/>
      <c r="F85" s="28"/>
    </row>
    <row r="86" spans="1:6">
      <c r="A86" s="28" t="s">
        <v>45</v>
      </c>
      <c r="B86" s="28">
        <v>1</v>
      </c>
      <c r="C86" s="28" t="s">
        <v>73</v>
      </c>
      <c r="D86" s="28"/>
      <c r="E86" s="28"/>
      <c r="F86" s="28"/>
    </row>
    <row r="87" spans="1:6">
      <c r="A87" s="28" t="s">
        <v>289</v>
      </c>
      <c r="B87" s="29">
        <f>B14*B13*B75/0.6</f>
        <v>1.2750952952672263</v>
      </c>
      <c r="C87" s="28" t="s">
        <v>290</v>
      </c>
      <c r="D87" s="28"/>
      <c r="E87" s="28"/>
      <c r="F87" s="28"/>
    </row>
    <row r="88" spans="1:6">
      <c r="A88" s="28" t="s">
        <v>291</v>
      </c>
      <c r="B88" s="37">
        <f>B75-B101</f>
        <v>6.0370857681582506E-2</v>
      </c>
      <c r="C88" s="28" t="s">
        <v>14</v>
      </c>
      <c r="D88" s="28"/>
      <c r="E88" s="28"/>
      <c r="F88" s="28" t="s">
        <v>104</v>
      </c>
    </row>
    <row r="89" spans="1:6">
      <c r="A89" s="28" t="s">
        <v>91</v>
      </c>
      <c r="B89" s="28">
        <v>0</v>
      </c>
      <c r="C89" s="29" t="s">
        <v>14</v>
      </c>
      <c r="D89" s="28"/>
      <c r="E89" s="28"/>
      <c r="F89" s="28"/>
    </row>
    <row r="90" spans="1:6">
      <c r="A90" s="28" t="s">
        <v>92</v>
      </c>
      <c r="B90" s="28">
        <v>0</v>
      </c>
      <c r="C90" s="29" t="s">
        <v>14</v>
      </c>
      <c r="D90" s="28"/>
      <c r="E90" s="28"/>
      <c r="F90" s="28"/>
    </row>
    <row r="91" spans="1:6">
      <c r="A91" s="28" t="s">
        <v>93</v>
      </c>
      <c r="B91" s="28">
        <v>0</v>
      </c>
      <c r="C91" s="29" t="s">
        <v>14</v>
      </c>
      <c r="D91" s="28"/>
      <c r="E91" s="28"/>
      <c r="F91" s="28"/>
    </row>
    <row r="92" spans="1:6">
      <c r="A92" s="28" t="s">
        <v>94</v>
      </c>
      <c r="B92" s="28">
        <v>0</v>
      </c>
      <c r="C92" s="29" t="s">
        <v>14</v>
      </c>
      <c r="D92" s="28"/>
      <c r="E92" s="28"/>
      <c r="F92" s="28"/>
    </row>
    <row r="93" spans="1:6">
      <c r="A93" s="28" t="s">
        <v>95</v>
      </c>
      <c r="B93" s="28">
        <v>0</v>
      </c>
      <c r="C93" s="29" t="s">
        <v>14</v>
      </c>
      <c r="D93" s="28"/>
      <c r="E93" s="28"/>
      <c r="F93" s="28"/>
    </row>
    <row r="95" spans="1:6" ht="15">
      <c r="A95" s="4" t="s">
        <v>293</v>
      </c>
      <c r="B95" s="2"/>
      <c r="C95" s="2"/>
      <c r="D95" s="2"/>
      <c r="E95" s="2"/>
      <c r="F95" s="2"/>
    </row>
    <row r="96" spans="1:6">
      <c r="A96" s="5" t="s">
        <v>337</v>
      </c>
      <c r="B96" s="5">
        <f>B14*B13*B75/0.6</f>
        <v>1.2750952952672263</v>
      </c>
      <c r="C96" s="5" t="s">
        <v>295</v>
      </c>
      <c r="D96" s="2"/>
      <c r="E96" s="2"/>
      <c r="F96" s="2"/>
    </row>
    <row r="97" spans="1:6">
      <c r="A97" s="2" t="s">
        <v>296</v>
      </c>
      <c r="B97" s="2"/>
      <c r="C97" s="2"/>
      <c r="D97" s="2"/>
      <c r="E97" s="5"/>
      <c r="F97" s="2"/>
    </row>
    <row r="98" spans="1:6">
      <c r="A98" s="2" t="s">
        <v>297</v>
      </c>
      <c r="B98" s="5">
        <f>B75</f>
        <v>6.1918268907562996E-2</v>
      </c>
      <c r="C98" s="5" t="s">
        <v>14</v>
      </c>
      <c r="D98" s="5"/>
      <c r="E98" s="5"/>
      <c r="F98" s="2"/>
    </row>
    <row r="99" spans="1:6">
      <c r="A99" s="2" t="s">
        <v>298</v>
      </c>
      <c r="B99" s="5">
        <f>(1*B87)/(0.0821*273)</f>
        <v>5.6890118602223955E-2</v>
      </c>
      <c r="C99" s="2"/>
      <c r="D99" s="5"/>
      <c r="E99" s="5"/>
      <c r="F99" s="2"/>
    </row>
    <row r="100" spans="1:6">
      <c r="A100" s="2" t="s">
        <v>299</v>
      </c>
      <c r="B100" s="2">
        <f>16*0.6+44*0.4</f>
        <v>27.200000000000003</v>
      </c>
      <c r="C100" s="2" t="s">
        <v>40</v>
      </c>
      <c r="D100" s="2"/>
      <c r="E100" s="2"/>
      <c r="F100" s="2"/>
    </row>
    <row r="101" spans="1:6">
      <c r="A101" s="2" t="s">
        <v>300</v>
      </c>
      <c r="B101" s="5">
        <f>B100*B99/1000</f>
        <v>1.5474112259804918E-3</v>
      </c>
      <c r="C101" s="2" t="s">
        <v>14</v>
      </c>
      <c r="D101" s="2"/>
      <c r="E101" s="2"/>
      <c r="F101" s="2"/>
    </row>
    <row r="102" spans="1:6" ht="20.25">
      <c r="A102" s="2" t="s">
        <v>301</v>
      </c>
      <c r="B102" s="5">
        <f>B98-B101</f>
        <v>6.0370857681582506E-2</v>
      </c>
      <c r="C102" s="2" t="s">
        <v>14</v>
      </c>
      <c r="D102" s="2"/>
      <c r="E102" s="40"/>
      <c r="F102" s="2"/>
    </row>
    <row r="103" spans="1:6">
      <c r="A103" s="2" t="s">
        <v>302</v>
      </c>
      <c r="B103" s="5">
        <f>(B75)/(B101/B6)</f>
        <v>48.857217181056917</v>
      </c>
      <c r="C103" s="2" t="s">
        <v>14</v>
      </c>
      <c r="D103" s="2"/>
      <c r="E103" s="2"/>
      <c r="F103" s="2"/>
    </row>
    <row r="105" spans="1:6" ht="15">
      <c r="A105" s="33" t="s">
        <v>303</v>
      </c>
      <c r="B105" s="24"/>
      <c r="C105" s="25"/>
      <c r="D105" s="24" t="s">
        <v>108</v>
      </c>
      <c r="E105" s="25"/>
      <c r="F105" s="25"/>
    </row>
    <row r="106" spans="1:6" ht="15">
      <c r="A106" s="24" t="s">
        <v>44</v>
      </c>
      <c r="B106" s="25"/>
      <c r="C106" s="25"/>
      <c r="D106" s="25"/>
      <c r="E106" s="25"/>
      <c r="F106" s="25"/>
    </row>
    <row r="107" spans="1:6">
      <c r="A107" s="25" t="s">
        <v>109</v>
      </c>
      <c r="B107" s="26">
        <v>2.0799999999999999E-4</v>
      </c>
      <c r="C107" s="25" t="s">
        <v>14</v>
      </c>
      <c r="D107" s="25"/>
      <c r="E107" s="25"/>
      <c r="F107" s="25" t="s">
        <v>110</v>
      </c>
    </row>
    <row r="108" spans="1:6">
      <c r="A108" s="25" t="s">
        <v>111</v>
      </c>
      <c r="B108" s="26">
        <v>5.4000000000000001E-11</v>
      </c>
      <c r="C108" s="25" t="s">
        <v>46</v>
      </c>
      <c r="D108" s="25"/>
      <c r="E108" s="25"/>
      <c r="F108" s="25" t="s">
        <v>112</v>
      </c>
    </row>
    <row r="109" spans="1:6">
      <c r="A109" s="25" t="s">
        <v>85</v>
      </c>
      <c r="B109" s="25">
        <v>0.18562874251497</v>
      </c>
      <c r="C109" s="25" t="s">
        <v>86</v>
      </c>
      <c r="D109" s="25"/>
      <c r="E109" s="25"/>
      <c r="F109" s="25" t="s">
        <v>68</v>
      </c>
    </row>
    <row r="110" spans="1:6">
      <c r="A110" s="25" t="s">
        <v>113</v>
      </c>
      <c r="B110" s="26">
        <v>1.4999999999999999E-4</v>
      </c>
      <c r="C110" s="25" t="s">
        <v>14</v>
      </c>
      <c r="D110" s="25"/>
      <c r="E110" s="25"/>
      <c r="F110" s="25" t="s">
        <v>114</v>
      </c>
    </row>
    <row r="111" spans="1:6">
      <c r="A111" s="25" t="s">
        <v>115</v>
      </c>
      <c r="B111" s="26">
        <v>3.98E-6</v>
      </c>
      <c r="C111" s="25" t="s">
        <v>14</v>
      </c>
      <c r="D111" s="25"/>
      <c r="E111" s="25"/>
      <c r="F111" s="25" t="s">
        <v>116</v>
      </c>
    </row>
    <row r="112" spans="1:6">
      <c r="A112" s="25"/>
      <c r="B112" s="26"/>
      <c r="C112" s="25"/>
      <c r="D112" s="25"/>
      <c r="E112" s="25"/>
      <c r="F112" s="25"/>
    </row>
    <row r="113" spans="1:6" ht="15">
      <c r="A113" s="24" t="s">
        <v>61</v>
      </c>
      <c r="B113" s="25"/>
      <c r="C113" s="25"/>
      <c r="D113" s="25"/>
      <c r="E113" s="25"/>
      <c r="F113" s="25"/>
    </row>
    <row r="114" spans="1:6">
      <c r="A114" s="25" t="s">
        <v>47</v>
      </c>
      <c r="B114" s="25">
        <v>1</v>
      </c>
      <c r="C114" s="25" t="s">
        <v>46</v>
      </c>
      <c r="D114" s="25"/>
      <c r="E114" s="25"/>
      <c r="F114" s="25"/>
    </row>
    <row r="115" spans="1:6">
      <c r="A115" s="25" t="s">
        <v>117</v>
      </c>
      <c r="B115" s="25">
        <v>1</v>
      </c>
      <c r="C115" s="25" t="s">
        <v>23</v>
      </c>
      <c r="D115" s="25"/>
      <c r="E115" s="25"/>
      <c r="F115" s="25"/>
    </row>
    <row r="116" spans="1:6">
      <c r="A116" s="25" t="s">
        <v>92</v>
      </c>
      <c r="B116" s="26">
        <v>0.97457000000000005</v>
      </c>
      <c r="C116" s="25" t="s">
        <v>14</v>
      </c>
      <c r="D116" s="25"/>
      <c r="E116" s="25"/>
      <c r="F116" s="25"/>
    </row>
    <row r="117" spans="1:6">
      <c r="A117" s="25" t="s">
        <v>118</v>
      </c>
      <c r="B117" s="26">
        <v>1.28</v>
      </c>
      <c r="C117" s="25" t="s">
        <v>50</v>
      </c>
      <c r="D117" s="25"/>
      <c r="E117" s="25"/>
      <c r="F117" s="25"/>
    </row>
    <row r="118" spans="1:6">
      <c r="A118" s="25" t="s">
        <v>94</v>
      </c>
      <c r="B118" s="26">
        <v>6.7000000000000002E-6</v>
      </c>
      <c r="C118" s="25" t="s">
        <v>14</v>
      </c>
      <c r="D118" s="25"/>
      <c r="E118" s="25"/>
      <c r="F118" s="25"/>
    </row>
    <row r="119" spans="1:6">
      <c r="A119" s="25" t="s">
        <v>95</v>
      </c>
      <c r="B119" s="25">
        <v>8.6E-3</v>
      </c>
      <c r="C119" s="25" t="s">
        <v>14</v>
      </c>
      <c r="D119" s="25"/>
      <c r="E119" s="25"/>
      <c r="F119" s="25"/>
    </row>
    <row r="120" spans="1:6">
      <c r="A120" s="25" t="s">
        <v>119</v>
      </c>
      <c r="B120" s="25">
        <v>4.8779999999999997E-2</v>
      </c>
      <c r="C120" s="25" t="s">
        <v>14</v>
      </c>
      <c r="D120" s="25"/>
      <c r="E120" s="25"/>
      <c r="F120" s="25"/>
    </row>
    <row r="121" spans="1:6">
      <c r="A121" s="25" t="s">
        <v>120</v>
      </c>
      <c r="B121" s="26">
        <v>6.5989999999999998E-6</v>
      </c>
      <c r="C121" s="25" t="s">
        <v>14</v>
      </c>
      <c r="D121" s="25"/>
      <c r="E121" s="25"/>
      <c r="F121" s="25"/>
    </row>
    <row r="123" spans="1:6" ht="15">
      <c r="A123" s="34" t="s">
        <v>186</v>
      </c>
      <c r="B123" s="28"/>
      <c r="C123" s="28"/>
      <c r="D123" s="27" t="s">
        <v>121</v>
      </c>
      <c r="E123" s="28"/>
      <c r="F123" s="28"/>
    </row>
    <row r="124" spans="1:6" ht="15">
      <c r="A124" s="27" t="s">
        <v>44</v>
      </c>
      <c r="B124" s="28"/>
      <c r="C124" s="28"/>
      <c r="D124" s="28"/>
      <c r="E124" s="28"/>
      <c r="F124" s="28"/>
    </row>
    <row r="125" spans="1:6">
      <c r="A125" s="28" t="s">
        <v>85</v>
      </c>
      <c r="B125" s="28">
        <v>2.7244000000000001E-3</v>
      </c>
      <c r="C125" s="28" t="s">
        <v>86</v>
      </c>
      <c r="D125" s="28"/>
      <c r="E125" s="28"/>
      <c r="F125" s="28" t="s">
        <v>68</v>
      </c>
    </row>
    <row r="126" spans="1:6">
      <c r="A126" s="28" t="s">
        <v>122</v>
      </c>
      <c r="B126" s="29">
        <v>6.4679999999999999E-7</v>
      </c>
      <c r="C126" s="28" t="s">
        <v>46</v>
      </c>
      <c r="D126" s="28"/>
      <c r="E126" s="28"/>
      <c r="F126" s="28" t="s">
        <v>123</v>
      </c>
    </row>
    <row r="127" spans="1:6">
      <c r="A127" s="28"/>
      <c r="B127" s="28"/>
      <c r="C127" s="28"/>
      <c r="D127" s="28"/>
      <c r="E127" s="28"/>
      <c r="F127" s="28"/>
    </row>
    <row r="128" spans="1:6" ht="15">
      <c r="A128" s="27" t="s">
        <v>61</v>
      </c>
      <c r="B128" s="28"/>
      <c r="C128" s="28"/>
      <c r="D128" s="28"/>
      <c r="E128" s="28"/>
      <c r="F128" s="28"/>
    </row>
    <row r="129" spans="1:6">
      <c r="A129" s="28" t="s">
        <v>124</v>
      </c>
      <c r="B129" s="28">
        <v>1</v>
      </c>
      <c r="C129" s="28" t="s">
        <v>46</v>
      </c>
      <c r="D129" s="28"/>
      <c r="E129" s="28"/>
      <c r="F129" s="28"/>
    </row>
    <row r="130" spans="1:6">
      <c r="A130" s="28" t="s">
        <v>125</v>
      </c>
      <c r="B130" s="28">
        <v>0</v>
      </c>
      <c r="C130" s="28" t="s">
        <v>50</v>
      </c>
      <c r="D130" s="28"/>
      <c r="E130" s="28" t="s">
        <v>126</v>
      </c>
      <c r="F130" s="28"/>
    </row>
    <row r="131" spans="1:6">
      <c r="A131" s="28" t="s">
        <v>128</v>
      </c>
      <c r="B131" s="29">
        <v>9.7999999999999992E-10</v>
      </c>
      <c r="C131" s="28" t="s">
        <v>14</v>
      </c>
      <c r="D131" s="28"/>
      <c r="E131" s="28"/>
      <c r="F131" s="28"/>
    </row>
    <row r="132" spans="1:6">
      <c r="A132" s="28" t="s">
        <v>129</v>
      </c>
      <c r="B132" s="29">
        <v>1.4700000000000001E-7</v>
      </c>
      <c r="C132" s="28" t="s">
        <v>14</v>
      </c>
      <c r="D132" s="28"/>
      <c r="E132" s="28"/>
      <c r="F132" s="28"/>
    </row>
    <row r="133" spans="1:6">
      <c r="A133" s="28" t="s">
        <v>130</v>
      </c>
      <c r="B133" s="29">
        <v>3.9200000000000002E-7</v>
      </c>
      <c r="C133" s="28" t="s">
        <v>14</v>
      </c>
      <c r="D133" s="28"/>
      <c r="E133" s="28"/>
      <c r="F133" s="28"/>
    </row>
    <row r="134" spans="1:6">
      <c r="A134" s="28" t="s">
        <v>131</v>
      </c>
      <c r="B134" s="29">
        <v>9.7999999999999994E-12</v>
      </c>
      <c r="C134" s="28" t="s">
        <v>14</v>
      </c>
      <c r="D134" s="28"/>
      <c r="E134" s="28"/>
      <c r="F134" s="28"/>
    </row>
    <row r="135" spans="1:6">
      <c r="A135" s="28" t="s">
        <v>132</v>
      </c>
      <c r="B135" s="29">
        <v>6.8599999999999998E-7</v>
      </c>
      <c r="C135" s="28" t="s">
        <v>14</v>
      </c>
      <c r="D135" s="28"/>
      <c r="E135" s="28"/>
      <c r="F135" s="28"/>
    </row>
    <row r="136" spans="1:6">
      <c r="A136" s="28" t="s">
        <v>92</v>
      </c>
      <c r="B136" s="28">
        <v>5.4879999999999998E-2</v>
      </c>
      <c r="C136" s="28" t="s">
        <v>14</v>
      </c>
      <c r="D136" s="28"/>
      <c r="E136" s="28"/>
      <c r="F136" s="28"/>
    </row>
    <row r="137" spans="1:6">
      <c r="A137" s="28" t="s">
        <v>133</v>
      </c>
      <c r="B137" s="29">
        <v>5.7819999999999999E-6</v>
      </c>
      <c r="C137" s="28" t="s">
        <v>14</v>
      </c>
      <c r="D137" s="28"/>
      <c r="E137" s="28"/>
      <c r="F137" s="28"/>
    </row>
    <row r="138" spans="1:6">
      <c r="A138" s="28" t="s">
        <v>93</v>
      </c>
      <c r="B138" s="29">
        <v>4.8999999999999997E-7</v>
      </c>
      <c r="C138" s="28" t="s">
        <v>14</v>
      </c>
      <c r="D138" s="28"/>
      <c r="E138" s="28"/>
      <c r="F138" s="28"/>
    </row>
    <row r="139" spans="1:6">
      <c r="A139" s="28" t="s">
        <v>134</v>
      </c>
      <c r="B139" s="29">
        <v>2.9400000000000001E-17</v>
      </c>
      <c r="C139" s="28" t="s">
        <v>14</v>
      </c>
      <c r="D139" s="28"/>
      <c r="E139" s="28"/>
      <c r="F139" s="28"/>
    </row>
    <row r="140" spans="1:6">
      <c r="A140" s="28" t="s">
        <v>135</v>
      </c>
      <c r="B140" s="29">
        <v>9.8000000000000004E-8</v>
      </c>
      <c r="C140" s="28" t="s">
        <v>14</v>
      </c>
      <c r="D140" s="28"/>
      <c r="E140" s="28"/>
      <c r="F140" s="28"/>
    </row>
    <row r="141" spans="1:6">
      <c r="A141" s="28" t="s">
        <v>136</v>
      </c>
      <c r="B141" s="29">
        <v>2.9400000000000003E-11</v>
      </c>
      <c r="C141" s="28" t="s">
        <v>14</v>
      </c>
      <c r="D141" s="28"/>
      <c r="E141" s="28"/>
      <c r="F141" s="28"/>
    </row>
    <row r="142" spans="1:6">
      <c r="A142" s="28" t="s">
        <v>95</v>
      </c>
      <c r="B142" s="29">
        <v>1.9599999999999999E-6</v>
      </c>
      <c r="C142" s="28" t="s">
        <v>14</v>
      </c>
      <c r="D142" s="28"/>
      <c r="E142" s="28"/>
      <c r="F142" s="28"/>
    </row>
    <row r="143" spans="1:6">
      <c r="A143" s="28" t="s">
        <v>137</v>
      </c>
      <c r="B143" s="29">
        <v>1.2739999999999999E-7</v>
      </c>
      <c r="C143" s="28" t="s">
        <v>14</v>
      </c>
      <c r="D143" s="28"/>
      <c r="E143" s="28"/>
      <c r="F143" s="28"/>
    </row>
    <row r="144" spans="1:6">
      <c r="A144" s="28" t="s">
        <v>138</v>
      </c>
      <c r="B144" s="29">
        <v>2.9400000000000002E-9</v>
      </c>
      <c r="C144" s="28" t="s">
        <v>14</v>
      </c>
      <c r="D144" s="28"/>
      <c r="E144" s="28"/>
      <c r="F144" s="28"/>
    </row>
    <row r="145" spans="1:6">
      <c r="A145" s="28" t="s">
        <v>139</v>
      </c>
      <c r="B145" s="29">
        <v>9.7019999999999996E-6</v>
      </c>
      <c r="C145" s="28" t="s">
        <v>14</v>
      </c>
      <c r="D145" s="28"/>
      <c r="E145" s="28"/>
      <c r="F145" s="28"/>
    </row>
    <row r="146" spans="1:6">
      <c r="A146" s="28" t="s">
        <v>140</v>
      </c>
      <c r="B146" s="29">
        <v>9.8000000000000001E-9</v>
      </c>
      <c r="C146" s="28" t="s">
        <v>14</v>
      </c>
      <c r="D146" s="28"/>
      <c r="E146" s="28"/>
      <c r="F146" s="28"/>
    </row>
    <row r="147" spans="1:6">
      <c r="A147" s="28" t="s">
        <v>141</v>
      </c>
      <c r="B147" s="29">
        <v>9.8000000000000004E-8</v>
      </c>
      <c r="C147" s="28" t="s">
        <v>14</v>
      </c>
      <c r="D147" s="28"/>
      <c r="E147" s="28"/>
      <c r="F147" s="28"/>
    </row>
    <row r="148" spans="1:6">
      <c r="A148" s="28" t="s">
        <v>142</v>
      </c>
      <c r="B148" s="29">
        <v>1.176E-6</v>
      </c>
      <c r="C148" s="28" t="s">
        <v>14</v>
      </c>
      <c r="D148" s="28"/>
      <c r="E148" s="28"/>
      <c r="F148" s="28"/>
    </row>
    <row r="149" spans="1:6">
      <c r="A149" s="28" t="s">
        <v>143</v>
      </c>
      <c r="B149" s="29">
        <v>1.9600000000000001E-7</v>
      </c>
      <c r="C149" s="28" t="s">
        <v>14</v>
      </c>
      <c r="D149" s="28"/>
      <c r="E149" s="28"/>
      <c r="F149" s="28"/>
    </row>
    <row r="150" spans="1:6">
      <c r="A150" s="28" t="s">
        <v>144</v>
      </c>
      <c r="B150" s="29">
        <v>1.96E-8</v>
      </c>
      <c r="C150" s="28" t="s">
        <v>14</v>
      </c>
      <c r="D150" s="28"/>
      <c r="E150" s="28"/>
      <c r="F150" s="28"/>
    </row>
    <row r="151" spans="1:6">
      <c r="A151" s="28" t="s">
        <v>145</v>
      </c>
      <c r="B151" s="29">
        <v>4.9000000000000002E-8</v>
      </c>
      <c r="C151" s="28" t="s">
        <v>14</v>
      </c>
      <c r="D151" s="28"/>
      <c r="E151" s="28"/>
      <c r="F151" s="28"/>
    </row>
    <row r="152" spans="1:6">
      <c r="A152" s="28" t="s">
        <v>146</v>
      </c>
      <c r="B152" s="29">
        <v>4.9000000000000002E-8</v>
      </c>
      <c r="C152" s="28" t="s">
        <v>14</v>
      </c>
      <c r="D152" s="28"/>
      <c r="E152" s="28"/>
      <c r="F152" s="28"/>
    </row>
    <row r="153" spans="1:6">
      <c r="A153" s="28" t="s">
        <v>120</v>
      </c>
      <c r="B153" s="29">
        <v>4.8999999999999997E-7</v>
      </c>
      <c r="C153" s="28" t="s">
        <v>14</v>
      </c>
      <c r="D153" s="28"/>
      <c r="E153" s="28"/>
      <c r="F153" s="28"/>
    </row>
    <row r="154" spans="1:6">
      <c r="A154" s="28" t="s">
        <v>147</v>
      </c>
      <c r="B154" s="29">
        <v>1.9600000000000001E-7</v>
      </c>
      <c r="C154" s="28" t="s">
        <v>14</v>
      </c>
      <c r="D154" s="29"/>
      <c r="E154" s="28"/>
      <c r="F154" s="28"/>
    </row>
    <row r="156" spans="1:6" ht="15">
      <c r="A156" s="30" t="s">
        <v>304</v>
      </c>
      <c r="B156" s="16"/>
      <c r="C156" s="16"/>
      <c r="D156" s="16"/>
      <c r="E156" s="16"/>
      <c r="F156" s="16"/>
    </row>
    <row r="157" spans="1:6" ht="15">
      <c r="A157" s="15" t="s">
        <v>44</v>
      </c>
      <c r="B157" s="16"/>
      <c r="C157" s="16"/>
      <c r="D157" s="16"/>
      <c r="E157" s="16"/>
      <c r="F157" s="16"/>
    </row>
    <row r="158" spans="1:6">
      <c r="A158" s="16" t="s">
        <v>85</v>
      </c>
      <c r="B158" s="16">
        <v>4.6333333333333296E-3</v>
      </c>
      <c r="C158" s="16" t="s">
        <v>86</v>
      </c>
      <c r="D158" s="16"/>
      <c r="E158" s="16"/>
      <c r="F158" s="16" t="s">
        <v>68</v>
      </c>
    </row>
    <row r="159" spans="1:6">
      <c r="A159" s="16" t="s">
        <v>149</v>
      </c>
      <c r="B159" s="17">
        <v>3.1111111111111102E-9</v>
      </c>
      <c r="C159" s="16" t="s">
        <v>46</v>
      </c>
      <c r="D159" s="16"/>
      <c r="E159" s="16"/>
      <c r="F159" s="16" t="s">
        <v>150</v>
      </c>
    </row>
    <row r="160" spans="1:6">
      <c r="A160" s="16" t="s">
        <v>151</v>
      </c>
      <c r="B160" s="16">
        <v>3.0864197530864199E-2</v>
      </c>
      <c r="C160" s="16" t="s">
        <v>23</v>
      </c>
      <c r="D160" s="16"/>
      <c r="E160" s="16"/>
      <c r="F160" s="16" t="s">
        <v>152</v>
      </c>
    </row>
    <row r="161" spans="1:6">
      <c r="A161" s="16"/>
      <c r="B161" s="16"/>
      <c r="C161" s="16"/>
      <c r="D161" s="16"/>
      <c r="E161" s="16"/>
      <c r="F161" s="16"/>
    </row>
    <row r="162" spans="1:6" ht="15">
      <c r="A162" s="15" t="s">
        <v>76</v>
      </c>
      <c r="B162" s="16"/>
      <c r="C162" s="16"/>
      <c r="D162" s="16"/>
      <c r="E162" s="16"/>
      <c r="F162" s="16"/>
    </row>
    <row r="163" spans="1:6">
      <c r="A163" s="16" t="s">
        <v>87</v>
      </c>
      <c r="B163" s="16">
        <v>1</v>
      </c>
      <c r="C163" s="16" t="s">
        <v>50</v>
      </c>
      <c r="D163" s="16"/>
      <c r="E163" s="16"/>
      <c r="F163" s="16"/>
    </row>
    <row r="164" spans="1:6">
      <c r="A164" s="16" t="s">
        <v>128</v>
      </c>
      <c r="B164" s="17">
        <v>1.11111111111111E-9</v>
      </c>
      <c r="C164" s="16" t="s">
        <v>14</v>
      </c>
      <c r="D164" s="16"/>
      <c r="E164" s="16"/>
      <c r="F164" s="16"/>
    </row>
    <row r="165" spans="1:6">
      <c r="A165" s="16" t="s">
        <v>129</v>
      </c>
      <c r="B165" s="17">
        <v>1.6666666666666699E-7</v>
      </c>
      <c r="C165" s="16" t="s">
        <v>14</v>
      </c>
      <c r="D165" s="16"/>
      <c r="E165" s="16"/>
      <c r="F165" s="16"/>
    </row>
    <row r="166" spans="1:6">
      <c r="A166" s="16" t="s">
        <v>130</v>
      </c>
      <c r="B166" s="17">
        <v>4.4444444444444401E-7</v>
      </c>
      <c r="C166" s="16" t="s">
        <v>14</v>
      </c>
      <c r="D166" s="16"/>
      <c r="E166" s="16"/>
      <c r="F166" s="16"/>
    </row>
    <row r="167" spans="1:6">
      <c r="A167" s="17" t="s">
        <v>131</v>
      </c>
      <c r="B167" s="17">
        <v>1.11111111111111E-11</v>
      </c>
      <c r="C167" s="16" t="s">
        <v>14</v>
      </c>
      <c r="D167" s="16"/>
      <c r="E167" s="16"/>
      <c r="F167" s="16"/>
    </row>
    <row r="168" spans="1:6">
      <c r="A168" s="17" t="s">
        <v>132</v>
      </c>
      <c r="B168" s="17">
        <v>7.77777777777778E-7</v>
      </c>
      <c r="C168" s="16" t="s">
        <v>14</v>
      </c>
      <c r="D168" s="16"/>
      <c r="E168" s="16"/>
      <c r="F168" s="16"/>
    </row>
    <row r="169" spans="1:6">
      <c r="A169" s="17" t="s">
        <v>153</v>
      </c>
      <c r="B169" s="16">
        <v>6.22222222222222E-2</v>
      </c>
      <c r="C169" s="16" t="s">
        <v>14</v>
      </c>
      <c r="D169" s="16"/>
      <c r="E169" s="16"/>
      <c r="F169" s="16"/>
    </row>
    <row r="170" spans="1:6">
      <c r="A170" s="17" t="s">
        <v>154</v>
      </c>
      <c r="B170" s="17">
        <v>1.5555555555555599E-5</v>
      </c>
      <c r="C170" s="16" t="s">
        <v>14</v>
      </c>
      <c r="D170" s="16"/>
      <c r="E170" s="16"/>
      <c r="F170" s="16"/>
    </row>
    <row r="171" spans="1:6">
      <c r="A171" s="17" t="s">
        <v>93</v>
      </c>
      <c r="B171" s="17">
        <v>1.11111111111111E-7</v>
      </c>
      <c r="C171" s="16" t="s">
        <v>14</v>
      </c>
      <c r="D171" s="16"/>
      <c r="E171" s="16"/>
      <c r="F171" s="16"/>
    </row>
    <row r="172" spans="1:6">
      <c r="A172" s="16" t="s">
        <v>134</v>
      </c>
      <c r="B172" s="17">
        <v>3.3333333333333298E-17</v>
      </c>
      <c r="C172" s="16" t="s">
        <v>14</v>
      </c>
      <c r="D172" s="16"/>
      <c r="E172" s="16"/>
      <c r="F172" s="17"/>
    </row>
    <row r="173" spans="1:6">
      <c r="A173" s="16" t="s">
        <v>135</v>
      </c>
      <c r="B173" s="17">
        <v>1.11111111111111E-7</v>
      </c>
      <c r="C173" s="16" t="s">
        <v>14</v>
      </c>
      <c r="D173" s="16"/>
      <c r="E173" s="17"/>
      <c r="F173" s="16"/>
    </row>
    <row r="174" spans="1:6">
      <c r="A174" s="17" t="s">
        <v>136</v>
      </c>
      <c r="B174" s="17">
        <v>3.3333333333333302E-11</v>
      </c>
      <c r="C174" s="16" t="s">
        <v>14</v>
      </c>
      <c r="D174" s="16"/>
      <c r="E174" s="16"/>
      <c r="F174" s="16"/>
    </row>
    <row r="175" spans="1:6">
      <c r="A175" s="16" t="s">
        <v>155</v>
      </c>
      <c r="B175" s="17">
        <v>2.22222222222222E-6</v>
      </c>
      <c r="C175" s="16" t="s">
        <v>14</v>
      </c>
      <c r="D175" s="16"/>
      <c r="E175" s="16"/>
      <c r="F175" s="16"/>
    </row>
    <row r="176" spans="1:6">
      <c r="A176" s="16" t="s">
        <v>139</v>
      </c>
      <c r="B176" s="17">
        <v>2.5555555555555602E-5</v>
      </c>
      <c r="C176" s="16" t="s">
        <v>14</v>
      </c>
      <c r="D176" s="16"/>
      <c r="E176" s="16"/>
      <c r="F176" s="16"/>
    </row>
    <row r="177" spans="1:6">
      <c r="A177" s="16" t="s">
        <v>140</v>
      </c>
      <c r="B177" s="17">
        <v>1.11111111111111E-8</v>
      </c>
      <c r="C177" s="16" t="s">
        <v>14</v>
      </c>
      <c r="D177" s="16"/>
      <c r="E177" s="16"/>
      <c r="F177" s="16"/>
    </row>
    <row r="178" spans="1:6">
      <c r="A178" s="16" t="s">
        <v>141</v>
      </c>
      <c r="B178" s="17">
        <v>1.11111111111111E-7</v>
      </c>
      <c r="C178" s="16" t="s">
        <v>14</v>
      </c>
      <c r="D178" s="16"/>
      <c r="E178" s="16"/>
      <c r="F178" s="16"/>
    </row>
    <row r="179" spans="1:6">
      <c r="A179" s="17" t="s">
        <v>142</v>
      </c>
      <c r="B179" s="17">
        <v>1.33333333333333E-6</v>
      </c>
      <c r="C179" s="16" t="s">
        <v>14</v>
      </c>
      <c r="D179" s="16"/>
      <c r="E179" s="16"/>
      <c r="F179" s="16"/>
    </row>
    <row r="180" spans="1:6">
      <c r="A180" s="17" t="s">
        <v>143</v>
      </c>
      <c r="B180" s="17">
        <v>2.2222222222222201E-7</v>
      </c>
      <c r="C180" s="16" t="s">
        <v>14</v>
      </c>
      <c r="D180" s="16"/>
      <c r="E180" s="16"/>
      <c r="F180" s="16"/>
    </row>
    <row r="181" spans="1:6">
      <c r="A181" s="16" t="s">
        <v>144</v>
      </c>
      <c r="B181" s="17">
        <v>2.2222222222222201E-8</v>
      </c>
      <c r="C181" s="16" t="s">
        <v>14</v>
      </c>
      <c r="D181" s="16"/>
      <c r="E181" s="16"/>
      <c r="F181" s="16"/>
    </row>
    <row r="182" spans="1:6">
      <c r="A182" s="16" t="s">
        <v>120</v>
      </c>
      <c r="B182" s="17">
        <v>6.1111111111111095E-7</v>
      </c>
      <c r="C182" s="16" t="s">
        <v>14</v>
      </c>
      <c r="D182" s="16"/>
      <c r="E182" s="16"/>
      <c r="F182" s="16"/>
    </row>
    <row r="183" spans="1:6">
      <c r="A183" s="17" t="s">
        <v>147</v>
      </c>
      <c r="B183" s="17">
        <v>2.2222222222222201E-7</v>
      </c>
      <c r="C183" s="16" t="s">
        <v>14</v>
      </c>
      <c r="D183" s="16"/>
      <c r="E183" s="16"/>
      <c r="F183" s="16"/>
    </row>
    <row r="187" spans="1:6">
      <c r="B187" s="3"/>
    </row>
    <row r="188" spans="1:6">
      <c r="B188" s="3"/>
    </row>
    <row r="189" spans="1:6">
      <c r="B189" s="3"/>
    </row>
    <row r="196" spans="1:6">
      <c r="E196" s="3"/>
      <c r="F196" s="3"/>
    </row>
    <row r="197" spans="1:6">
      <c r="B197" s="3"/>
      <c r="E197" s="3"/>
      <c r="F197" s="3"/>
    </row>
    <row r="198" spans="1:6">
      <c r="B198" s="3"/>
      <c r="C198" s="3"/>
      <c r="E198" s="3"/>
      <c r="F198" s="3"/>
    </row>
    <row r="199" spans="1:6">
      <c r="B199" s="3"/>
      <c r="C199" s="3"/>
      <c r="E199" s="3"/>
      <c r="F199" s="3"/>
    </row>
    <row r="200" spans="1:6">
      <c r="B200" s="3"/>
      <c r="E200" s="3"/>
      <c r="F200" s="3"/>
    </row>
    <row r="201" spans="1:6">
      <c r="B201" s="3"/>
    </row>
    <row r="202" spans="1:6">
      <c r="A202" s="3"/>
      <c r="B202" s="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0F02F-2D9D-4EE9-9824-73E67804FDD4}">
  <dimension ref="A1:F203"/>
  <sheetViews>
    <sheetView topLeftCell="A157" zoomScale="33" zoomScaleNormal="70" workbookViewId="0">
      <selection activeCell="F72" sqref="F72"/>
    </sheetView>
  </sheetViews>
  <sheetFormatPr baseColWidth="10" defaultColWidth="9" defaultRowHeight="14.25"/>
  <cols>
    <col min="1" max="1" width="78.125" customWidth="1"/>
    <col min="2" max="2" width="79" customWidth="1"/>
    <col min="3" max="3" width="21.75" customWidth="1"/>
    <col min="4" max="4" width="28" customWidth="1"/>
    <col min="5" max="5" width="99.75" bestFit="1" customWidth="1"/>
    <col min="6" max="6" width="45.375" customWidth="1"/>
  </cols>
  <sheetData>
    <row r="1" spans="1:6" ht="15">
      <c r="A1" s="6" t="s">
        <v>6</v>
      </c>
      <c r="B1" s="6" t="s">
        <v>7</v>
      </c>
      <c r="C1" s="6" t="s">
        <v>8</v>
      </c>
      <c r="D1" s="6" t="s">
        <v>9</v>
      </c>
      <c r="E1" s="6" t="s">
        <v>10</v>
      </c>
      <c r="F1" s="6" t="s">
        <v>11</v>
      </c>
    </row>
    <row r="3" spans="1:6" ht="15">
      <c r="A3" s="36" t="s">
        <v>159</v>
      </c>
      <c r="B3" s="35"/>
      <c r="C3" s="35"/>
      <c r="D3" s="35"/>
      <c r="E3" s="35"/>
      <c r="F3" s="35"/>
    </row>
    <row r="4" spans="1:6">
      <c r="A4" s="35" t="s">
        <v>351</v>
      </c>
      <c r="B4" s="35">
        <v>0.1</v>
      </c>
      <c r="C4" s="35" t="s">
        <v>14</v>
      </c>
      <c r="D4" s="35" t="s">
        <v>339</v>
      </c>
      <c r="E4" s="35"/>
      <c r="F4" s="35"/>
    </row>
    <row r="5" spans="1:6">
      <c r="A5" s="35" t="s">
        <v>352</v>
      </c>
      <c r="B5" s="35">
        <v>0.46800000000000003</v>
      </c>
      <c r="C5" s="35"/>
      <c r="D5" s="35"/>
      <c r="E5" s="35"/>
      <c r="F5" s="35"/>
    </row>
    <row r="6" spans="1:6">
      <c r="A6" s="35" t="s">
        <v>160</v>
      </c>
      <c r="B6" s="35">
        <v>1.2210000000000001</v>
      </c>
      <c r="C6" s="35" t="s">
        <v>17</v>
      </c>
      <c r="D6" s="35"/>
      <c r="E6" s="35"/>
      <c r="F6" s="35"/>
    </row>
    <row r="7" spans="1:6">
      <c r="A7" s="42" t="s">
        <v>353</v>
      </c>
      <c r="B7" s="35">
        <v>0.65</v>
      </c>
      <c r="C7" s="35"/>
      <c r="D7" s="35" t="s">
        <v>162</v>
      </c>
      <c r="E7" s="35"/>
      <c r="F7" s="35"/>
    </row>
    <row r="8" spans="1:6">
      <c r="A8" s="42" t="s">
        <v>354</v>
      </c>
      <c r="B8" s="35">
        <v>0.33200000000000002</v>
      </c>
      <c r="C8" s="35"/>
      <c r="D8" s="35" t="s">
        <v>162</v>
      </c>
      <c r="E8" s="35"/>
      <c r="F8" s="35"/>
    </row>
    <row r="9" spans="1:6">
      <c r="A9" s="42" t="s">
        <v>355</v>
      </c>
      <c r="B9" s="35">
        <v>1.7999999999999999E-2</v>
      </c>
      <c r="C9" s="35"/>
      <c r="D9" s="35" t="s">
        <v>162</v>
      </c>
      <c r="E9" s="35"/>
      <c r="F9" s="35"/>
    </row>
    <row r="10" spans="1:6">
      <c r="A10" s="42" t="s">
        <v>356</v>
      </c>
      <c r="B10" s="35">
        <v>0.78600000000000003</v>
      </c>
      <c r="C10" s="35"/>
      <c r="D10" s="35" t="s">
        <v>162</v>
      </c>
      <c r="E10" s="35"/>
      <c r="F10" s="35"/>
    </row>
    <row r="11" spans="1:6">
      <c r="A11" s="35" t="s">
        <v>166</v>
      </c>
      <c r="B11" s="35">
        <v>4.3249999999999997E-2</v>
      </c>
      <c r="C11" s="35" t="s">
        <v>14</v>
      </c>
      <c r="D11" s="35" t="s">
        <v>167</v>
      </c>
      <c r="E11" s="35"/>
      <c r="F11" s="35"/>
    </row>
    <row r="12" spans="1:6">
      <c r="A12" s="42" t="s">
        <v>168</v>
      </c>
      <c r="B12" s="35">
        <f>B17/27</f>
        <v>0.3666666666666667</v>
      </c>
      <c r="C12" s="35"/>
      <c r="D12" s="35" t="s">
        <v>169</v>
      </c>
      <c r="E12" s="35"/>
      <c r="F12" s="35"/>
    </row>
    <row r="13" spans="1:6">
      <c r="A13" s="42" t="s">
        <v>357</v>
      </c>
      <c r="B13" s="35">
        <f>16.4*4</f>
        <v>65.599999999999994</v>
      </c>
      <c r="C13" s="35" t="s">
        <v>171</v>
      </c>
      <c r="D13" s="35" t="s">
        <v>172</v>
      </c>
      <c r="E13" s="35"/>
      <c r="F13" s="35"/>
    </row>
    <row r="14" spans="1:6">
      <c r="A14" s="42" t="s">
        <v>358</v>
      </c>
      <c r="B14" s="35">
        <v>0.21099999999999999</v>
      </c>
      <c r="C14" s="35" t="s">
        <v>174</v>
      </c>
      <c r="D14" s="35" t="s">
        <v>172</v>
      </c>
      <c r="E14" s="35"/>
      <c r="F14" s="35"/>
    </row>
    <row r="15" spans="1:6">
      <c r="A15" s="35" t="s">
        <v>22</v>
      </c>
      <c r="B15" s="35">
        <v>1.53579</v>
      </c>
      <c r="C15" s="35" t="s">
        <v>23</v>
      </c>
      <c r="D15" s="35"/>
      <c r="E15" s="35"/>
      <c r="F15" s="35"/>
    </row>
    <row r="16" spans="1:6">
      <c r="A16" s="35" t="s">
        <v>24</v>
      </c>
      <c r="B16" s="35">
        <v>2.513E-2</v>
      </c>
      <c r="C16" s="35" t="s">
        <v>23</v>
      </c>
      <c r="D16" s="35"/>
      <c r="E16" s="35"/>
      <c r="F16" s="35"/>
    </row>
    <row r="17" spans="1:6">
      <c r="A17" s="35" t="s">
        <v>359</v>
      </c>
      <c r="B17" s="35">
        <v>9.9</v>
      </c>
      <c r="C17" s="35" t="s">
        <v>177</v>
      </c>
      <c r="D17" s="35"/>
      <c r="E17" s="35"/>
      <c r="F17" s="35"/>
    </row>
    <row r="18" spans="1:6">
      <c r="A18" s="35" t="s">
        <v>362</v>
      </c>
      <c r="B18" s="35">
        <f>1.1/100</f>
        <v>1.1000000000000001E-2</v>
      </c>
      <c r="C18" s="35"/>
      <c r="D18" s="35" t="s">
        <v>172</v>
      </c>
      <c r="E18" s="35"/>
      <c r="F18" s="35"/>
    </row>
    <row r="19" spans="1:6">
      <c r="A19" s="35" t="s">
        <v>363</v>
      </c>
      <c r="B19" s="35">
        <f>8.8/100</f>
        <v>8.8000000000000009E-2</v>
      </c>
      <c r="C19" s="35"/>
      <c r="D19" s="35" t="s">
        <v>172</v>
      </c>
      <c r="E19" s="35"/>
      <c r="F19" s="35"/>
    </row>
    <row r="20" spans="1:6">
      <c r="A20" s="35" t="s">
        <v>364</v>
      </c>
      <c r="B20" s="35">
        <f>0.2/100</f>
        <v>2E-3</v>
      </c>
      <c r="C20" s="35"/>
      <c r="D20" s="35" t="s">
        <v>172</v>
      </c>
      <c r="E20" s="35"/>
      <c r="F20" s="35"/>
    </row>
    <row r="21" spans="1:6">
      <c r="A21" s="35" t="s">
        <v>39</v>
      </c>
      <c r="B21" s="35">
        <v>142</v>
      </c>
      <c r="C21" s="35" t="s">
        <v>40</v>
      </c>
      <c r="D21" s="35"/>
      <c r="E21" s="35"/>
      <c r="F21" s="35"/>
    </row>
    <row r="22" spans="1:6">
      <c r="A22" s="35" t="s">
        <v>41</v>
      </c>
      <c r="B22" s="35">
        <f>39*2+16</f>
        <v>94</v>
      </c>
      <c r="C22" s="35" t="s">
        <v>40</v>
      </c>
      <c r="D22" s="35"/>
      <c r="E22" s="35"/>
      <c r="F22" s="35"/>
    </row>
    <row r="24" spans="1:6" ht="15">
      <c r="A24" s="34" t="s">
        <v>178</v>
      </c>
      <c r="B24" s="28"/>
      <c r="C24" s="28"/>
      <c r="D24" s="28"/>
      <c r="E24" s="28"/>
      <c r="F24" s="28"/>
    </row>
    <row r="25" spans="1:6" ht="15">
      <c r="A25" s="27" t="s">
        <v>44</v>
      </c>
      <c r="B25" s="28"/>
      <c r="C25" s="28"/>
      <c r="D25" s="28"/>
      <c r="E25" s="28"/>
      <c r="F25" s="28"/>
    </row>
    <row r="26" spans="1:6">
      <c r="A26" s="28" t="s">
        <v>45</v>
      </c>
      <c r="B26" s="28">
        <v>1</v>
      </c>
      <c r="C26" s="28" t="s">
        <v>46</v>
      </c>
      <c r="D26" s="28"/>
      <c r="E26" s="28"/>
      <c r="F26" s="28"/>
    </row>
    <row r="27" spans="1:6">
      <c r="A27" s="28" t="s">
        <v>47</v>
      </c>
      <c r="B27" s="28">
        <v>0.15650723831737146</v>
      </c>
      <c r="C27" s="28" t="s">
        <v>46</v>
      </c>
      <c r="D27" s="28"/>
      <c r="E27" s="28"/>
      <c r="F27" s="28"/>
    </row>
    <row r="28" spans="1:6">
      <c r="A28" s="28" t="s">
        <v>48</v>
      </c>
      <c r="B28" s="28">
        <v>1</v>
      </c>
      <c r="C28" s="28" t="s">
        <v>46</v>
      </c>
      <c r="D28" s="28"/>
      <c r="E28" s="28"/>
      <c r="F28" s="28"/>
    </row>
    <row r="29" spans="1:6">
      <c r="A29" s="28" t="s">
        <v>49</v>
      </c>
      <c r="B29" s="28">
        <v>6.2279044296606232</v>
      </c>
      <c r="C29" s="28" t="s">
        <v>46</v>
      </c>
      <c r="D29" s="28"/>
      <c r="E29" s="28"/>
      <c r="F29" s="28"/>
    </row>
    <row r="30" spans="1:6">
      <c r="A30" s="28" t="s">
        <v>51</v>
      </c>
      <c r="B30" s="28">
        <v>-6.2279044296606232</v>
      </c>
      <c r="C30" s="28" t="s">
        <v>50</v>
      </c>
      <c r="D30" s="28"/>
      <c r="E30" s="28"/>
      <c r="F30" s="28" t="s">
        <v>52</v>
      </c>
    </row>
    <row r="31" spans="1:6">
      <c r="A31" s="28" t="s">
        <v>53</v>
      </c>
      <c r="B31" s="28">
        <v>1</v>
      </c>
      <c r="C31" s="28" t="s">
        <v>46</v>
      </c>
      <c r="D31" s="28"/>
      <c r="E31" s="28"/>
      <c r="F31" s="28"/>
    </row>
    <row r="32" spans="1:6">
      <c r="A32" s="28" t="s">
        <v>54</v>
      </c>
      <c r="B32" s="29">
        <v>1</v>
      </c>
      <c r="C32" s="28" t="s">
        <v>46</v>
      </c>
      <c r="D32" s="28"/>
      <c r="E32" s="28"/>
      <c r="F32" s="28"/>
    </row>
    <row r="33" spans="1:6">
      <c r="A33" s="28" t="s">
        <v>375</v>
      </c>
      <c r="B33" s="28">
        <v>0.02</v>
      </c>
      <c r="C33" s="28" t="s">
        <v>376</v>
      </c>
      <c r="D33" s="28"/>
      <c r="E33" s="28"/>
      <c r="F33" s="28"/>
    </row>
    <row r="34" spans="1:6">
      <c r="A34" s="28" t="s">
        <v>179</v>
      </c>
      <c r="B34" s="28">
        <v>1</v>
      </c>
      <c r="C34" s="28" t="s">
        <v>46</v>
      </c>
      <c r="D34" s="28"/>
      <c r="E34" s="28"/>
      <c r="F34" s="28"/>
    </row>
    <row r="35" spans="1:6">
      <c r="A35" s="28" t="s">
        <v>180</v>
      </c>
      <c r="B35" s="28">
        <v>1</v>
      </c>
      <c r="C35" s="28" t="s">
        <v>46</v>
      </c>
      <c r="D35" s="28"/>
      <c r="E35" s="28"/>
      <c r="F35" s="28"/>
    </row>
    <row r="36" spans="1:6">
      <c r="A36" s="28" t="s">
        <v>184</v>
      </c>
      <c r="B36" s="28">
        <v>1</v>
      </c>
      <c r="C36" s="28" t="s">
        <v>46</v>
      </c>
      <c r="D36" s="28"/>
      <c r="E36" s="28"/>
      <c r="F36" s="28"/>
    </row>
    <row r="37" spans="1:6">
      <c r="A37" s="28" t="s">
        <v>185</v>
      </c>
      <c r="B37" s="29">
        <f>(B88/1000)/B15</f>
        <v>1.5539923608666069E-3</v>
      </c>
      <c r="C37" s="28" t="s">
        <v>46</v>
      </c>
      <c r="D37" s="28"/>
      <c r="E37" s="28"/>
      <c r="F37" s="28"/>
    </row>
    <row r="38" spans="1:6">
      <c r="A38" s="28" t="s">
        <v>186</v>
      </c>
      <c r="B38" s="29">
        <f>B37/B16</f>
        <v>6.1838136126804895E-2</v>
      </c>
      <c r="C38" s="28" t="s">
        <v>46</v>
      </c>
      <c r="D38" s="28"/>
      <c r="E38" s="28"/>
      <c r="F38" s="28"/>
    </row>
    <row r="39" spans="1:6">
      <c r="A39" s="28" t="s">
        <v>187</v>
      </c>
      <c r="B39" s="29">
        <f>-B38</f>
        <v>-6.1838136126804895E-2</v>
      </c>
      <c r="C39" s="28" t="s">
        <v>50</v>
      </c>
      <c r="D39" s="28"/>
      <c r="E39" s="28"/>
      <c r="F39" s="28" t="s">
        <v>52</v>
      </c>
    </row>
    <row r="40" spans="1:6">
      <c r="A40" s="28" t="s">
        <v>55</v>
      </c>
      <c r="B40" s="54">
        <v>-2.2793296089385498E-3</v>
      </c>
      <c r="C40" s="28" t="s">
        <v>14</v>
      </c>
      <c r="D40" s="28"/>
      <c r="E40" s="28"/>
      <c r="F40" s="28" t="s">
        <v>56</v>
      </c>
    </row>
    <row r="41" spans="1:6">
      <c r="A41" s="28" t="s">
        <v>57</v>
      </c>
      <c r="B41" s="54">
        <v>-2.4883907010272131E-4</v>
      </c>
      <c r="C41" s="28" t="s">
        <v>14</v>
      </c>
      <c r="D41" s="28"/>
      <c r="E41" s="28"/>
      <c r="F41" s="28" t="s">
        <v>58</v>
      </c>
    </row>
    <row r="42" spans="1:6">
      <c r="A42" s="28" t="s">
        <v>59</v>
      </c>
      <c r="B42" s="54">
        <v>-9.5225325884543794E-5</v>
      </c>
      <c r="C42" s="28" t="s">
        <v>14</v>
      </c>
      <c r="D42" s="28"/>
      <c r="E42" s="28"/>
      <c r="F42" s="28" t="s">
        <v>60</v>
      </c>
    </row>
    <row r="43" spans="1:6">
      <c r="A43" s="28"/>
      <c r="B43" s="28"/>
      <c r="C43" s="28"/>
      <c r="D43" s="28"/>
      <c r="E43" s="28"/>
      <c r="F43" s="28"/>
    </row>
    <row r="44" spans="1:6" ht="15">
      <c r="A44" s="27" t="s">
        <v>61</v>
      </c>
      <c r="B44" s="28"/>
      <c r="C44" s="28"/>
      <c r="D44" s="28"/>
      <c r="E44" s="28"/>
      <c r="F44" s="28"/>
    </row>
    <row r="45" spans="1:6">
      <c r="A45" s="28" t="s">
        <v>62</v>
      </c>
      <c r="B45" s="28">
        <v>1</v>
      </c>
      <c r="C45" s="28" t="s">
        <v>14</v>
      </c>
      <c r="D45" s="28"/>
      <c r="E45" s="28"/>
      <c r="F45" s="28"/>
    </row>
    <row r="47" spans="1:6" ht="15">
      <c r="A47" s="1" t="s">
        <v>317</v>
      </c>
    </row>
    <row r="48" spans="1:6" ht="15">
      <c r="A48" s="31" t="s">
        <v>333</v>
      </c>
      <c r="B48" s="19"/>
      <c r="C48" s="19"/>
      <c r="D48" s="19"/>
      <c r="E48" s="19"/>
      <c r="F48" s="19"/>
    </row>
    <row r="49" spans="1:6" ht="15">
      <c r="A49" s="18" t="s">
        <v>44</v>
      </c>
      <c r="B49" s="19"/>
      <c r="C49" s="19"/>
      <c r="D49" s="19"/>
      <c r="E49" s="19"/>
      <c r="F49" s="19"/>
    </row>
    <row r="50" spans="1:6">
      <c r="A50" s="19" t="s">
        <v>64</v>
      </c>
      <c r="B50" s="19">
        <f>20/1500</f>
        <v>1.3333333333333334E-2</v>
      </c>
      <c r="C50" s="19" t="s">
        <v>65</v>
      </c>
      <c r="D50" s="19"/>
      <c r="E50" s="19" t="s">
        <v>75</v>
      </c>
      <c r="F50" s="19" t="s">
        <v>68</v>
      </c>
    </row>
    <row r="51" spans="1:6">
      <c r="A51" s="19" t="s">
        <v>69</v>
      </c>
      <c r="B51" s="19">
        <f>2000/(20*3000*1500)</f>
        <v>2.2222222222222223E-5</v>
      </c>
      <c r="C51" s="19" t="s">
        <v>70</v>
      </c>
      <c r="D51" s="19"/>
      <c r="E51" s="19"/>
      <c r="F51" s="19" t="s">
        <v>72</v>
      </c>
    </row>
    <row r="52" spans="1:6">
      <c r="A52" s="19"/>
      <c r="B52" s="19"/>
      <c r="C52" s="19"/>
      <c r="D52" s="19"/>
      <c r="E52" s="19"/>
      <c r="F52" s="19"/>
    </row>
    <row r="53" spans="1:6" ht="15">
      <c r="A53" s="18" t="s">
        <v>76</v>
      </c>
      <c r="B53" s="19"/>
      <c r="C53" s="19"/>
      <c r="D53" s="19"/>
      <c r="E53" s="19"/>
      <c r="F53" s="19"/>
    </row>
    <row r="54" spans="1:6">
      <c r="A54" s="19" t="s">
        <v>53</v>
      </c>
      <c r="B54" s="19">
        <v>1</v>
      </c>
      <c r="C54" s="19" t="s">
        <v>73</v>
      </c>
      <c r="D54" s="19"/>
      <c r="E54" s="19"/>
      <c r="F54" s="19"/>
    </row>
    <row r="55" spans="1:6">
      <c r="A55" s="43" t="s">
        <v>334</v>
      </c>
      <c r="B55" s="43">
        <v>0.1</v>
      </c>
      <c r="C55" s="43" t="s">
        <v>14</v>
      </c>
      <c r="D55" s="19"/>
      <c r="E55" s="19"/>
      <c r="F55" s="19" t="s">
        <v>78</v>
      </c>
    </row>
    <row r="57" spans="1:6" ht="15">
      <c r="A57" s="18" t="s">
        <v>189</v>
      </c>
      <c r="B57" s="19"/>
      <c r="C57" s="19"/>
      <c r="D57" s="19"/>
      <c r="E57" s="19"/>
      <c r="F57" s="19"/>
    </row>
    <row r="58" spans="1:6" ht="15">
      <c r="A58" s="18" t="s">
        <v>44</v>
      </c>
      <c r="B58" s="19"/>
      <c r="C58" s="19"/>
      <c r="D58" s="19"/>
      <c r="E58" s="19"/>
      <c r="F58" s="19"/>
    </row>
    <row r="59" spans="1:6">
      <c r="A59" s="19" t="s">
        <v>85</v>
      </c>
      <c r="B59" s="19">
        <v>4.8703624122618545E-3</v>
      </c>
      <c r="C59" s="19" t="s">
        <v>65</v>
      </c>
      <c r="D59" s="19" t="s">
        <v>97</v>
      </c>
      <c r="E59" s="19" t="s">
        <v>98</v>
      </c>
      <c r="F59" s="19" t="s">
        <v>68</v>
      </c>
    </row>
    <row r="60" spans="1:6">
      <c r="A60" s="19" t="s">
        <v>99</v>
      </c>
      <c r="B60" s="20">
        <v>6.4102564102564103E-5</v>
      </c>
      <c r="C60" s="19" t="s">
        <v>14</v>
      </c>
      <c r="D60" s="19" t="s">
        <v>100</v>
      </c>
      <c r="E60" s="19" t="s">
        <v>101</v>
      </c>
      <c r="F60" s="19" t="s">
        <v>72</v>
      </c>
    </row>
    <row r="61" spans="1:6">
      <c r="A61" s="19"/>
      <c r="B61" s="19"/>
      <c r="C61" s="19"/>
      <c r="D61" s="19"/>
      <c r="E61" s="19"/>
      <c r="F61" s="19"/>
    </row>
    <row r="62" spans="1:6" ht="15">
      <c r="A62" s="18" t="s">
        <v>76</v>
      </c>
      <c r="B62" s="19"/>
      <c r="C62" s="19"/>
      <c r="D62" s="19"/>
      <c r="E62" s="19"/>
      <c r="F62" s="19"/>
    </row>
    <row r="63" spans="1:6">
      <c r="A63" s="19" t="s">
        <v>189</v>
      </c>
      <c r="B63" s="19">
        <v>1</v>
      </c>
      <c r="C63" s="19" t="s">
        <v>46</v>
      </c>
      <c r="D63" s="19"/>
      <c r="E63" s="19"/>
      <c r="F63" s="19"/>
    </row>
    <row r="64" spans="1:6">
      <c r="A64" s="19" t="s">
        <v>190</v>
      </c>
      <c r="B64" s="20">
        <f>0.253258845437616/1000</f>
        <v>2.5325884543761599E-4</v>
      </c>
      <c r="C64" s="19" t="s">
        <v>23</v>
      </c>
      <c r="D64" s="19"/>
      <c r="E64" s="19"/>
      <c r="F64" s="19" t="s">
        <v>104</v>
      </c>
    </row>
    <row r="65" spans="1:6">
      <c r="A65" s="19" t="s">
        <v>105</v>
      </c>
      <c r="B65" s="20">
        <v>0.2532588454376164</v>
      </c>
      <c r="C65" s="19" t="s">
        <v>14</v>
      </c>
      <c r="D65" s="19"/>
      <c r="E65" s="19"/>
      <c r="F65" s="19" t="s">
        <v>348</v>
      </c>
    </row>
    <row r="67" spans="1:6" ht="15">
      <c r="A67" s="15" t="s">
        <v>335</v>
      </c>
      <c r="B67" s="16"/>
      <c r="C67" s="16"/>
      <c r="D67" s="16"/>
      <c r="E67" s="16"/>
      <c r="F67" s="16"/>
    </row>
    <row r="68" spans="1:6" ht="15">
      <c r="A68" s="15" t="s">
        <v>44</v>
      </c>
      <c r="B68" s="16"/>
      <c r="C68" s="16"/>
      <c r="D68" s="16"/>
      <c r="E68" s="16"/>
      <c r="F68" s="16"/>
    </row>
    <row r="69" spans="1:6">
      <c r="A69" s="16" t="s">
        <v>64</v>
      </c>
      <c r="B69" s="17">
        <f>0.3*(B4+B71)</f>
        <v>7.9799999999999996E-2</v>
      </c>
      <c r="C69" s="16" t="s">
        <v>65</v>
      </c>
      <c r="D69" s="16"/>
      <c r="E69" s="16" t="s">
        <v>321</v>
      </c>
      <c r="F69" s="16" t="s">
        <v>68</v>
      </c>
    </row>
    <row r="70" spans="1:6">
      <c r="A70" s="16" t="s">
        <v>99</v>
      </c>
      <c r="B70" s="17">
        <v>2.2222222222222223E-5</v>
      </c>
      <c r="C70" s="16" t="s">
        <v>70</v>
      </c>
      <c r="D70" s="16"/>
      <c r="E70" s="16" t="s">
        <v>198</v>
      </c>
      <c r="F70" s="16" t="s">
        <v>72</v>
      </c>
    </row>
    <row r="71" spans="1:6">
      <c r="A71" s="16" t="s">
        <v>349</v>
      </c>
      <c r="B71" s="17">
        <f>(B4*(1-B5)-B4*0.2)/0.2</f>
        <v>0.16599999999999998</v>
      </c>
      <c r="C71" s="16" t="s">
        <v>14</v>
      </c>
      <c r="D71" s="16"/>
      <c r="E71" s="16"/>
      <c r="F71" s="16" t="s">
        <v>201</v>
      </c>
    </row>
    <row r="72" spans="1:6">
      <c r="A72" s="16"/>
      <c r="B72" s="16"/>
      <c r="C72" s="16"/>
      <c r="D72" s="16"/>
      <c r="E72" s="16"/>
      <c r="F72" s="16"/>
    </row>
    <row r="73" spans="1:6" ht="15">
      <c r="A73" s="15" t="s">
        <v>61</v>
      </c>
      <c r="B73" s="16"/>
      <c r="C73" s="16"/>
      <c r="D73" s="16"/>
      <c r="E73" s="16"/>
      <c r="F73" s="16"/>
    </row>
    <row r="74" spans="1:6">
      <c r="A74" s="16" t="s">
        <v>361</v>
      </c>
      <c r="B74" s="16">
        <v>1</v>
      </c>
      <c r="C74" s="16" t="s">
        <v>46</v>
      </c>
      <c r="D74" s="16"/>
      <c r="E74" s="16"/>
      <c r="F74" s="16"/>
    </row>
    <row r="75" spans="1:6">
      <c r="A75" s="16" t="s">
        <v>203</v>
      </c>
      <c r="B75" s="17">
        <f>B4*(1-B5)*B7/(1-B10)</f>
        <v>0.16158878504672902</v>
      </c>
      <c r="C75" s="16" t="s">
        <v>14</v>
      </c>
      <c r="D75" s="16"/>
      <c r="E75" s="16"/>
      <c r="F75" s="16"/>
    </row>
    <row r="76" spans="1:6">
      <c r="A76" s="16" t="s">
        <v>204</v>
      </c>
      <c r="B76" s="17">
        <f>(B4+B71)-(B75+B77+B78)</f>
        <v>0.10345361495327099</v>
      </c>
      <c r="C76" s="16" t="s">
        <v>14</v>
      </c>
      <c r="D76" s="16"/>
      <c r="E76" s="16"/>
      <c r="F76" s="16"/>
    </row>
    <row r="77" spans="1:6">
      <c r="A77" s="16" t="s">
        <v>92</v>
      </c>
      <c r="B77" s="17">
        <f>B4*(1-B5)*B9*0.95</f>
        <v>9.0971999999999993E-4</v>
      </c>
      <c r="C77" s="16" t="s">
        <v>14</v>
      </c>
      <c r="D77" s="16"/>
      <c r="E77" s="16" t="s">
        <v>205</v>
      </c>
      <c r="F77" s="16"/>
    </row>
    <row r="78" spans="1:6">
      <c r="A78" s="16" t="s">
        <v>133</v>
      </c>
      <c r="B78" s="17">
        <f>B4*(1-B5)*B9*0.05</f>
        <v>4.7880000000000002E-5</v>
      </c>
      <c r="C78" s="16" t="s">
        <v>14</v>
      </c>
      <c r="D78" s="16"/>
      <c r="E78" s="16"/>
      <c r="F78" s="16"/>
    </row>
    <row r="80" spans="1:6" ht="15">
      <c r="A80" s="27" t="s">
        <v>184</v>
      </c>
      <c r="B80" s="39" t="s">
        <v>80</v>
      </c>
      <c r="C80" s="29">
        <v>1</v>
      </c>
      <c r="D80" s="28"/>
      <c r="E80" s="28" t="s">
        <v>286</v>
      </c>
      <c r="F80" s="28"/>
    </row>
    <row r="81" spans="1:6" ht="15">
      <c r="A81" s="27" t="s">
        <v>44</v>
      </c>
      <c r="B81" s="28"/>
      <c r="C81" s="28"/>
      <c r="D81" s="28"/>
      <c r="E81" s="28"/>
      <c r="F81" s="28"/>
    </row>
    <row r="82" spans="1:6">
      <c r="A82" s="28" t="s">
        <v>287</v>
      </c>
      <c r="B82" s="28">
        <v>0</v>
      </c>
      <c r="C82" s="28" t="s">
        <v>73</v>
      </c>
      <c r="D82" s="28"/>
      <c r="E82" s="28"/>
      <c r="F82" s="28" t="s">
        <v>84</v>
      </c>
    </row>
    <row r="83" spans="1:6">
      <c r="A83" s="28" t="s">
        <v>85</v>
      </c>
      <c r="B83" s="28">
        <v>0</v>
      </c>
      <c r="C83" s="28" t="s">
        <v>65</v>
      </c>
      <c r="D83" s="28"/>
      <c r="E83" s="28"/>
      <c r="F83" s="28" t="s">
        <v>68</v>
      </c>
    </row>
    <row r="84" spans="1:6">
      <c r="A84" s="28" t="s">
        <v>288</v>
      </c>
      <c r="B84" s="28">
        <v>0</v>
      </c>
      <c r="C84" s="28" t="s">
        <v>50</v>
      </c>
      <c r="D84" s="28"/>
      <c r="E84" s="28"/>
      <c r="F84" s="28" t="s">
        <v>88</v>
      </c>
    </row>
    <row r="85" spans="1:6">
      <c r="A85" s="28"/>
      <c r="B85" s="28"/>
      <c r="C85" s="28"/>
      <c r="D85" s="28"/>
      <c r="E85" s="28"/>
      <c r="F85" s="28"/>
    </row>
    <row r="86" spans="1:6" ht="15">
      <c r="A86" s="27" t="s">
        <v>76</v>
      </c>
      <c r="B86" s="28"/>
      <c r="C86" s="28"/>
      <c r="D86" s="28"/>
      <c r="E86" s="28"/>
      <c r="F86" s="28"/>
    </row>
    <row r="87" spans="1:6">
      <c r="A87" s="28" t="s">
        <v>45</v>
      </c>
      <c r="B87" s="28">
        <v>1</v>
      </c>
      <c r="C87" s="28" t="s">
        <v>73</v>
      </c>
      <c r="D87" s="28"/>
      <c r="E87" s="28"/>
      <c r="F87" s="28"/>
    </row>
    <row r="88" spans="1:6">
      <c r="A88" s="28" t="s">
        <v>289</v>
      </c>
      <c r="B88" s="29">
        <f>B14*B13*B76/0.6</f>
        <v>2.3866059278953262</v>
      </c>
      <c r="C88" s="28" t="s">
        <v>290</v>
      </c>
      <c r="D88" s="28"/>
      <c r="E88" s="28"/>
      <c r="F88" s="28"/>
    </row>
    <row r="89" spans="1:6">
      <c r="A89" s="28" t="s">
        <v>291</v>
      </c>
      <c r="B89" s="37">
        <f>B76-B102</f>
        <v>0.10055731314859462</v>
      </c>
      <c r="C89" s="28" t="s">
        <v>14</v>
      </c>
      <c r="D89" s="28"/>
      <c r="E89" s="28"/>
      <c r="F89" s="28" t="s">
        <v>104</v>
      </c>
    </row>
    <row r="90" spans="1:6">
      <c r="A90" s="28" t="s">
        <v>91</v>
      </c>
      <c r="B90" s="28">
        <v>0</v>
      </c>
      <c r="C90" s="29" t="s">
        <v>14</v>
      </c>
      <c r="D90" s="28"/>
      <c r="E90" s="28"/>
      <c r="F90" s="28"/>
    </row>
    <row r="91" spans="1:6">
      <c r="A91" s="28" t="s">
        <v>92</v>
      </c>
      <c r="B91" s="28">
        <v>0</v>
      </c>
      <c r="C91" s="29" t="s">
        <v>14</v>
      </c>
      <c r="D91" s="28"/>
      <c r="E91" s="28"/>
      <c r="F91" s="28"/>
    </row>
    <row r="92" spans="1:6">
      <c r="A92" s="28" t="s">
        <v>93</v>
      </c>
      <c r="B92" s="28">
        <v>0</v>
      </c>
      <c r="C92" s="29" t="s">
        <v>14</v>
      </c>
      <c r="D92" s="28"/>
      <c r="E92" s="28"/>
      <c r="F92" s="28"/>
    </row>
    <row r="93" spans="1:6">
      <c r="A93" s="28" t="s">
        <v>94</v>
      </c>
      <c r="B93" s="28">
        <v>0</v>
      </c>
      <c r="C93" s="29" t="s">
        <v>14</v>
      </c>
      <c r="D93" s="28"/>
      <c r="E93" s="28"/>
      <c r="F93" s="28"/>
    </row>
    <row r="94" spans="1:6">
      <c r="A94" s="28" t="s">
        <v>95</v>
      </c>
      <c r="B94" s="28">
        <v>0</v>
      </c>
      <c r="C94" s="29" t="s">
        <v>14</v>
      </c>
      <c r="D94" s="28"/>
      <c r="E94" s="28"/>
      <c r="F94" s="28"/>
    </row>
    <row r="96" spans="1:6" ht="15">
      <c r="A96" s="4" t="s">
        <v>293</v>
      </c>
      <c r="B96" s="2"/>
      <c r="C96" s="2"/>
      <c r="D96" s="2"/>
      <c r="E96" s="2"/>
      <c r="F96" s="2"/>
    </row>
    <row r="97" spans="1:6">
      <c r="A97" s="5" t="s">
        <v>337</v>
      </c>
      <c r="B97" s="5">
        <f>B14*B13*B76/0.6</f>
        <v>2.3866059278953262</v>
      </c>
      <c r="C97" s="5" t="s">
        <v>295</v>
      </c>
      <c r="D97" s="2"/>
      <c r="E97" s="2"/>
      <c r="F97" s="2"/>
    </row>
    <row r="98" spans="1:6">
      <c r="A98" s="2" t="s">
        <v>296</v>
      </c>
      <c r="B98" s="2"/>
      <c r="C98" s="5"/>
      <c r="D98" s="2"/>
      <c r="E98" s="5"/>
      <c r="F98" s="2"/>
    </row>
    <row r="99" spans="1:6">
      <c r="A99" s="2" t="s">
        <v>297</v>
      </c>
      <c r="B99" s="5">
        <f>B76</f>
        <v>0.10345361495327099</v>
      </c>
      <c r="C99" s="5" t="s">
        <v>14</v>
      </c>
      <c r="D99" s="5"/>
      <c r="E99" s="5"/>
      <c r="F99" s="2"/>
    </row>
    <row r="100" spans="1:6">
      <c r="A100" s="2" t="s">
        <v>298</v>
      </c>
      <c r="B100" s="5">
        <f>(1*B88)/(0.0821*273)</f>
        <v>0.10648168399545475</v>
      </c>
      <c r="C100" s="2"/>
      <c r="D100" s="5"/>
      <c r="E100" s="5"/>
      <c r="F100" s="2"/>
    </row>
    <row r="101" spans="1:6">
      <c r="A101" s="2" t="s">
        <v>299</v>
      </c>
      <c r="B101" s="2">
        <f>16*0.6+44*0.4</f>
        <v>27.200000000000003</v>
      </c>
      <c r="C101" s="2" t="s">
        <v>40</v>
      </c>
      <c r="D101" s="2"/>
      <c r="E101" s="2"/>
      <c r="F101" s="2"/>
    </row>
    <row r="102" spans="1:6">
      <c r="A102" s="2" t="s">
        <v>300</v>
      </c>
      <c r="B102" s="5">
        <f>B101*B100/1000</f>
        <v>2.8963018046763698E-3</v>
      </c>
      <c r="C102" s="2" t="s">
        <v>14</v>
      </c>
      <c r="D102" s="2"/>
      <c r="E102" s="2"/>
      <c r="F102" s="2"/>
    </row>
    <row r="103" spans="1:6" ht="20.25">
      <c r="A103" s="2" t="s">
        <v>301</v>
      </c>
      <c r="B103" s="5">
        <f>B99-B102</f>
        <v>0.10055731314859462</v>
      </c>
      <c r="C103" s="2" t="s">
        <v>14</v>
      </c>
      <c r="D103" s="2"/>
      <c r="E103" s="40"/>
      <c r="F103" s="2"/>
    </row>
    <row r="104" spans="1:6">
      <c r="A104" s="2" t="s">
        <v>302</v>
      </c>
      <c r="B104" s="5">
        <f>(B76)/(B102/B6)</f>
        <v>43.613156492873998</v>
      </c>
      <c r="C104" s="2" t="s">
        <v>14</v>
      </c>
      <c r="D104" s="2"/>
      <c r="E104" s="2"/>
      <c r="F104" s="2"/>
    </row>
    <row r="106" spans="1:6" ht="15">
      <c r="A106" s="33" t="s">
        <v>303</v>
      </c>
      <c r="B106" s="24"/>
      <c r="C106" s="25"/>
      <c r="D106" s="24" t="s">
        <v>108</v>
      </c>
      <c r="E106" s="25"/>
      <c r="F106" s="25"/>
    </row>
    <row r="107" spans="1:6" ht="15">
      <c r="A107" s="24" t="s">
        <v>44</v>
      </c>
      <c r="B107" s="25"/>
      <c r="C107" s="25"/>
      <c r="D107" s="25"/>
      <c r="E107" s="25"/>
      <c r="F107" s="25"/>
    </row>
    <row r="108" spans="1:6">
      <c r="A108" s="25" t="s">
        <v>109</v>
      </c>
      <c r="B108" s="26">
        <v>2.0799999999999999E-4</v>
      </c>
      <c r="C108" s="25" t="s">
        <v>14</v>
      </c>
      <c r="D108" s="25"/>
      <c r="E108" s="25"/>
      <c r="F108" s="25" t="s">
        <v>110</v>
      </c>
    </row>
    <row r="109" spans="1:6">
      <c r="A109" s="25" t="s">
        <v>111</v>
      </c>
      <c r="B109" s="26">
        <v>5.4000000000000001E-11</v>
      </c>
      <c r="C109" s="25" t="s">
        <v>46</v>
      </c>
      <c r="D109" s="25"/>
      <c r="E109" s="25"/>
      <c r="F109" s="25" t="s">
        <v>112</v>
      </c>
    </row>
    <row r="110" spans="1:6">
      <c r="A110" s="25" t="s">
        <v>85</v>
      </c>
      <c r="B110" s="25">
        <v>0.18562874251497</v>
      </c>
      <c r="C110" s="25" t="s">
        <v>86</v>
      </c>
      <c r="D110" s="25"/>
      <c r="E110" s="25"/>
      <c r="F110" s="25" t="s">
        <v>68</v>
      </c>
    </row>
    <row r="111" spans="1:6">
      <c r="A111" s="25" t="s">
        <v>113</v>
      </c>
      <c r="B111" s="26">
        <v>1.4999999999999999E-4</v>
      </c>
      <c r="C111" s="25" t="s">
        <v>14</v>
      </c>
      <c r="D111" s="25"/>
      <c r="E111" s="25"/>
      <c r="F111" s="25" t="s">
        <v>114</v>
      </c>
    </row>
    <row r="112" spans="1:6">
      <c r="A112" s="25" t="s">
        <v>115</v>
      </c>
      <c r="B112" s="26">
        <v>3.98E-6</v>
      </c>
      <c r="C112" s="25" t="s">
        <v>14</v>
      </c>
      <c r="D112" s="25"/>
      <c r="E112" s="25"/>
      <c r="F112" s="25" t="s">
        <v>116</v>
      </c>
    </row>
    <row r="113" spans="1:6">
      <c r="A113" s="25"/>
      <c r="B113" s="26"/>
      <c r="C113" s="25"/>
      <c r="D113" s="25"/>
      <c r="E113" s="25"/>
      <c r="F113" s="25"/>
    </row>
    <row r="114" spans="1:6" ht="15">
      <c r="A114" s="24" t="s">
        <v>61</v>
      </c>
      <c r="B114" s="25"/>
      <c r="C114" s="25"/>
      <c r="D114" s="25"/>
      <c r="E114" s="25"/>
      <c r="F114" s="25"/>
    </row>
    <row r="115" spans="1:6">
      <c r="A115" s="25" t="s">
        <v>47</v>
      </c>
      <c r="B115" s="25">
        <v>1</v>
      </c>
      <c r="C115" s="25" t="s">
        <v>46</v>
      </c>
      <c r="D115" s="25"/>
      <c r="E115" s="25"/>
      <c r="F115" s="25"/>
    </row>
    <row r="116" spans="1:6">
      <c r="A116" s="25" t="s">
        <v>117</v>
      </c>
      <c r="B116" s="25">
        <v>1</v>
      </c>
      <c r="C116" s="25" t="s">
        <v>23</v>
      </c>
      <c r="D116" s="25"/>
      <c r="E116" s="25"/>
      <c r="F116" s="25"/>
    </row>
    <row r="117" spans="1:6">
      <c r="A117" s="25" t="s">
        <v>92</v>
      </c>
      <c r="B117" s="26">
        <v>0.97457000000000005</v>
      </c>
      <c r="C117" s="25" t="s">
        <v>14</v>
      </c>
      <c r="D117" s="25"/>
      <c r="E117" s="25"/>
      <c r="F117" s="25"/>
    </row>
    <row r="118" spans="1:6">
      <c r="A118" s="25" t="s">
        <v>118</v>
      </c>
      <c r="B118" s="26">
        <v>1.28</v>
      </c>
      <c r="C118" s="25" t="s">
        <v>50</v>
      </c>
      <c r="D118" s="25"/>
      <c r="E118" s="25"/>
      <c r="F118" s="25"/>
    </row>
    <row r="119" spans="1:6">
      <c r="A119" s="25" t="s">
        <v>94</v>
      </c>
      <c r="B119" s="26">
        <v>6.7000000000000002E-6</v>
      </c>
      <c r="C119" s="25" t="s">
        <v>14</v>
      </c>
      <c r="D119" s="25"/>
      <c r="E119" s="25"/>
      <c r="F119" s="25"/>
    </row>
    <row r="120" spans="1:6">
      <c r="A120" s="25" t="s">
        <v>95</v>
      </c>
      <c r="B120" s="25">
        <v>8.6E-3</v>
      </c>
      <c r="C120" s="25" t="s">
        <v>14</v>
      </c>
      <c r="D120" s="25"/>
      <c r="E120" s="25"/>
      <c r="F120" s="25"/>
    </row>
    <row r="121" spans="1:6">
      <c r="A121" s="25" t="s">
        <v>119</v>
      </c>
      <c r="B121" s="25">
        <v>4.8779999999999997E-2</v>
      </c>
      <c r="C121" s="25" t="s">
        <v>14</v>
      </c>
      <c r="D121" s="25"/>
      <c r="E121" s="25"/>
      <c r="F121" s="25"/>
    </row>
    <row r="122" spans="1:6">
      <c r="A122" s="25" t="s">
        <v>120</v>
      </c>
      <c r="B122" s="26">
        <v>6.5989999999999998E-6</v>
      </c>
      <c r="C122" s="25" t="s">
        <v>14</v>
      </c>
      <c r="D122" s="25"/>
      <c r="E122" s="25"/>
      <c r="F122" s="25"/>
    </row>
    <row r="124" spans="1:6" ht="15">
      <c r="A124" s="34" t="s">
        <v>186</v>
      </c>
      <c r="B124" s="28"/>
      <c r="C124" s="28"/>
      <c r="D124" s="27" t="s">
        <v>121</v>
      </c>
      <c r="E124" s="28"/>
      <c r="F124" s="28"/>
    </row>
    <row r="125" spans="1:6" ht="15">
      <c r="A125" s="27" t="s">
        <v>44</v>
      </c>
      <c r="B125" s="28"/>
      <c r="C125" s="28"/>
      <c r="D125" s="28"/>
      <c r="E125" s="28"/>
      <c r="F125" s="28"/>
    </row>
    <row r="126" spans="1:6">
      <c r="A126" s="28" t="s">
        <v>85</v>
      </c>
      <c r="B126" s="28">
        <v>2.7244000000000001E-3</v>
      </c>
      <c r="C126" s="28" t="s">
        <v>86</v>
      </c>
      <c r="D126" s="28"/>
      <c r="E126" s="28"/>
      <c r="F126" s="28" t="s">
        <v>68</v>
      </c>
    </row>
    <row r="127" spans="1:6">
      <c r="A127" s="28" t="s">
        <v>122</v>
      </c>
      <c r="B127" s="29">
        <v>6.4679999999999999E-7</v>
      </c>
      <c r="C127" s="28" t="s">
        <v>46</v>
      </c>
      <c r="D127" s="28"/>
      <c r="E127" s="28"/>
      <c r="F127" s="28" t="s">
        <v>123</v>
      </c>
    </row>
    <row r="128" spans="1:6">
      <c r="A128" s="28"/>
      <c r="B128" s="28"/>
      <c r="C128" s="28"/>
      <c r="D128" s="28"/>
      <c r="E128" s="28"/>
      <c r="F128" s="28"/>
    </row>
    <row r="129" spans="1:6" ht="15">
      <c r="A129" s="27" t="s">
        <v>61</v>
      </c>
      <c r="B129" s="28"/>
      <c r="C129" s="28"/>
      <c r="D129" s="28"/>
      <c r="E129" s="28"/>
      <c r="F129" s="28"/>
    </row>
    <row r="130" spans="1:6">
      <c r="A130" s="28" t="s">
        <v>124</v>
      </c>
      <c r="B130" s="28">
        <v>1</v>
      </c>
      <c r="C130" s="28" t="s">
        <v>46</v>
      </c>
      <c r="D130" s="28"/>
      <c r="E130" s="28"/>
      <c r="F130" s="28"/>
    </row>
    <row r="131" spans="1:6">
      <c r="A131" s="28" t="s">
        <v>125</v>
      </c>
      <c r="B131" s="28">
        <v>0</v>
      </c>
      <c r="C131" s="28" t="s">
        <v>50</v>
      </c>
      <c r="D131" s="28"/>
      <c r="E131" s="28" t="s">
        <v>126</v>
      </c>
      <c r="F131" s="28"/>
    </row>
    <row r="132" spans="1:6">
      <c r="A132" s="28" t="s">
        <v>128</v>
      </c>
      <c r="B132" s="29">
        <v>9.7999999999999992E-10</v>
      </c>
      <c r="C132" s="28" t="s">
        <v>14</v>
      </c>
      <c r="D132" s="28"/>
      <c r="E132" s="28"/>
      <c r="F132" s="28"/>
    </row>
    <row r="133" spans="1:6">
      <c r="A133" s="28" t="s">
        <v>129</v>
      </c>
      <c r="B133" s="29">
        <v>1.4700000000000001E-7</v>
      </c>
      <c r="C133" s="28" t="s">
        <v>14</v>
      </c>
      <c r="D133" s="28"/>
      <c r="E133" s="28"/>
      <c r="F133" s="28"/>
    </row>
    <row r="134" spans="1:6">
      <c r="A134" s="28" t="s">
        <v>130</v>
      </c>
      <c r="B134" s="29">
        <v>3.9200000000000002E-7</v>
      </c>
      <c r="C134" s="28" t="s">
        <v>14</v>
      </c>
      <c r="D134" s="28"/>
      <c r="E134" s="28"/>
      <c r="F134" s="28"/>
    </row>
    <row r="135" spans="1:6">
      <c r="A135" s="28" t="s">
        <v>131</v>
      </c>
      <c r="B135" s="29">
        <v>9.7999999999999994E-12</v>
      </c>
      <c r="C135" s="28" t="s">
        <v>14</v>
      </c>
      <c r="D135" s="28"/>
      <c r="E135" s="28"/>
      <c r="F135" s="28"/>
    </row>
    <row r="136" spans="1:6">
      <c r="A136" s="28" t="s">
        <v>132</v>
      </c>
      <c r="B136" s="29">
        <v>6.8599999999999998E-7</v>
      </c>
      <c r="C136" s="28" t="s">
        <v>14</v>
      </c>
      <c r="D136" s="28"/>
      <c r="E136" s="28"/>
      <c r="F136" s="28"/>
    </row>
    <row r="137" spans="1:6">
      <c r="A137" s="28" t="s">
        <v>92</v>
      </c>
      <c r="B137" s="28">
        <v>5.4879999999999998E-2</v>
      </c>
      <c r="C137" s="28" t="s">
        <v>14</v>
      </c>
      <c r="D137" s="28"/>
      <c r="E137" s="28"/>
      <c r="F137" s="28"/>
    </row>
    <row r="138" spans="1:6">
      <c r="A138" s="28" t="s">
        <v>133</v>
      </c>
      <c r="B138" s="29">
        <v>5.7819999999999999E-6</v>
      </c>
      <c r="C138" s="28" t="s">
        <v>14</v>
      </c>
      <c r="D138" s="28"/>
      <c r="E138" s="28"/>
      <c r="F138" s="28"/>
    </row>
    <row r="139" spans="1:6">
      <c r="A139" s="28" t="s">
        <v>93</v>
      </c>
      <c r="B139" s="29">
        <v>4.8999999999999997E-7</v>
      </c>
      <c r="C139" s="28" t="s">
        <v>14</v>
      </c>
      <c r="D139" s="28"/>
      <c r="E139" s="28"/>
      <c r="F139" s="28"/>
    </row>
    <row r="140" spans="1:6">
      <c r="A140" s="28" t="s">
        <v>134</v>
      </c>
      <c r="B140" s="29">
        <v>2.9400000000000001E-17</v>
      </c>
      <c r="C140" s="28" t="s">
        <v>14</v>
      </c>
      <c r="D140" s="28"/>
      <c r="E140" s="28"/>
      <c r="F140" s="28"/>
    </row>
    <row r="141" spans="1:6">
      <c r="A141" s="28" t="s">
        <v>135</v>
      </c>
      <c r="B141" s="29">
        <v>9.8000000000000004E-8</v>
      </c>
      <c r="C141" s="28" t="s">
        <v>14</v>
      </c>
      <c r="D141" s="28"/>
      <c r="E141" s="28"/>
      <c r="F141" s="28"/>
    </row>
    <row r="142" spans="1:6">
      <c r="A142" s="28" t="s">
        <v>136</v>
      </c>
      <c r="B142" s="29">
        <v>2.9400000000000003E-11</v>
      </c>
      <c r="C142" s="28" t="s">
        <v>14</v>
      </c>
      <c r="D142" s="28"/>
      <c r="E142" s="28"/>
      <c r="F142" s="28"/>
    </row>
    <row r="143" spans="1:6">
      <c r="A143" s="28" t="s">
        <v>95</v>
      </c>
      <c r="B143" s="29">
        <v>1.9599999999999999E-6</v>
      </c>
      <c r="C143" s="28" t="s">
        <v>14</v>
      </c>
      <c r="D143" s="28"/>
      <c r="E143" s="28"/>
      <c r="F143" s="28"/>
    </row>
    <row r="144" spans="1:6">
      <c r="A144" s="28" t="s">
        <v>137</v>
      </c>
      <c r="B144" s="29">
        <v>1.2739999999999999E-7</v>
      </c>
      <c r="C144" s="28" t="s">
        <v>14</v>
      </c>
      <c r="D144" s="28"/>
      <c r="E144" s="28"/>
      <c r="F144" s="28"/>
    </row>
    <row r="145" spans="1:6">
      <c r="A145" s="28" t="s">
        <v>138</v>
      </c>
      <c r="B145" s="29">
        <v>2.9400000000000002E-9</v>
      </c>
      <c r="C145" s="28" t="s">
        <v>14</v>
      </c>
      <c r="D145" s="28"/>
      <c r="E145" s="28"/>
      <c r="F145" s="28"/>
    </row>
    <row r="146" spans="1:6">
      <c r="A146" s="28" t="s">
        <v>139</v>
      </c>
      <c r="B146" s="29">
        <v>9.7019999999999996E-6</v>
      </c>
      <c r="C146" s="28" t="s">
        <v>14</v>
      </c>
      <c r="D146" s="28"/>
      <c r="E146" s="28"/>
      <c r="F146" s="28"/>
    </row>
    <row r="147" spans="1:6">
      <c r="A147" s="28" t="s">
        <v>140</v>
      </c>
      <c r="B147" s="29">
        <v>9.8000000000000001E-9</v>
      </c>
      <c r="C147" s="28" t="s">
        <v>14</v>
      </c>
      <c r="D147" s="28"/>
      <c r="E147" s="28"/>
      <c r="F147" s="28"/>
    </row>
    <row r="148" spans="1:6">
      <c r="A148" s="28" t="s">
        <v>141</v>
      </c>
      <c r="B148" s="29">
        <v>9.8000000000000004E-8</v>
      </c>
      <c r="C148" s="28" t="s">
        <v>14</v>
      </c>
      <c r="D148" s="28"/>
      <c r="E148" s="28"/>
      <c r="F148" s="28"/>
    </row>
    <row r="149" spans="1:6">
      <c r="A149" s="28" t="s">
        <v>142</v>
      </c>
      <c r="B149" s="29">
        <v>1.176E-6</v>
      </c>
      <c r="C149" s="28" t="s">
        <v>14</v>
      </c>
      <c r="D149" s="28"/>
      <c r="E149" s="28"/>
      <c r="F149" s="28"/>
    </row>
    <row r="150" spans="1:6">
      <c r="A150" s="28" t="s">
        <v>143</v>
      </c>
      <c r="B150" s="29">
        <v>1.9600000000000001E-7</v>
      </c>
      <c r="C150" s="28" t="s">
        <v>14</v>
      </c>
      <c r="D150" s="28"/>
      <c r="E150" s="28"/>
      <c r="F150" s="28"/>
    </row>
    <row r="151" spans="1:6">
      <c r="A151" s="28" t="s">
        <v>144</v>
      </c>
      <c r="B151" s="29">
        <v>1.96E-8</v>
      </c>
      <c r="C151" s="28" t="s">
        <v>14</v>
      </c>
      <c r="D151" s="28"/>
      <c r="E151" s="28"/>
      <c r="F151" s="28"/>
    </row>
    <row r="152" spans="1:6">
      <c r="A152" s="28" t="s">
        <v>145</v>
      </c>
      <c r="B152" s="29">
        <v>4.9000000000000002E-8</v>
      </c>
      <c r="C152" s="28" t="s">
        <v>14</v>
      </c>
      <c r="D152" s="28"/>
      <c r="E152" s="28"/>
      <c r="F152" s="28"/>
    </row>
    <row r="153" spans="1:6">
      <c r="A153" s="28" t="s">
        <v>146</v>
      </c>
      <c r="B153" s="29">
        <v>4.9000000000000002E-8</v>
      </c>
      <c r="C153" s="28" t="s">
        <v>14</v>
      </c>
      <c r="D153" s="28"/>
      <c r="E153" s="28"/>
      <c r="F153" s="28"/>
    </row>
    <row r="154" spans="1:6">
      <c r="A154" s="28" t="s">
        <v>120</v>
      </c>
      <c r="B154" s="29">
        <v>4.8999999999999997E-7</v>
      </c>
      <c r="C154" s="28" t="s">
        <v>14</v>
      </c>
      <c r="D154" s="28"/>
      <c r="E154" s="28"/>
      <c r="F154" s="28"/>
    </row>
    <row r="155" spans="1:6">
      <c r="A155" s="28" t="s">
        <v>147</v>
      </c>
      <c r="B155" s="29">
        <v>1.9600000000000001E-7</v>
      </c>
      <c r="C155" s="28" t="s">
        <v>14</v>
      </c>
      <c r="D155" s="28"/>
      <c r="E155" s="28"/>
      <c r="F155" s="28"/>
    </row>
    <row r="157" spans="1:6" ht="15">
      <c r="A157" s="30" t="s">
        <v>304</v>
      </c>
      <c r="B157" s="16"/>
      <c r="C157" s="16"/>
      <c r="D157" s="16"/>
      <c r="E157" s="16"/>
      <c r="F157" s="16"/>
    </row>
    <row r="158" spans="1:6" ht="15">
      <c r="A158" s="15" t="s">
        <v>44</v>
      </c>
      <c r="B158" s="16"/>
      <c r="C158" s="16"/>
      <c r="D158" s="16"/>
      <c r="E158" s="16"/>
      <c r="F158" s="16"/>
    </row>
    <row r="159" spans="1:6">
      <c r="A159" s="16" t="s">
        <v>85</v>
      </c>
      <c r="B159" s="16">
        <v>4.6333333333333296E-3</v>
      </c>
      <c r="C159" s="16" t="s">
        <v>86</v>
      </c>
      <c r="D159" s="16"/>
      <c r="E159" s="16"/>
      <c r="F159" s="16" t="s">
        <v>68</v>
      </c>
    </row>
    <row r="160" spans="1:6">
      <c r="A160" s="16" t="s">
        <v>149</v>
      </c>
      <c r="B160" s="17">
        <v>3.1111111111111102E-9</v>
      </c>
      <c r="C160" s="16" t="s">
        <v>46</v>
      </c>
      <c r="D160" s="16"/>
      <c r="E160" s="16"/>
      <c r="F160" s="16" t="s">
        <v>150</v>
      </c>
    </row>
    <row r="161" spans="1:6">
      <c r="A161" s="16" t="s">
        <v>151</v>
      </c>
      <c r="B161" s="16">
        <v>3.0864197530864199E-2</v>
      </c>
      <c r="C161" s="16" t="s">
        <v>23</v>
      </c>
      <c r="D161" s="16"/>
      <c r="E161" s="16"/>
      <c r="F161" s="16" t="s">
        <v>152</v>
      </c>
    </row>
    <row r="162" spans="1:6">
      <c r="A162" s="16"/>
      <c r="B162" s="16"/>
      <c r="C162" s="16"/>
      <c r="D162" s="16"/>
      <c r="E162" s="16"/>
      <c r="F162" s="16"/>
    </row>
    <row r="163" spans="1:6" ht="15">
      <c r="A163" s="15" t="s">
        <v>76</v>
      </c>
      <c r="B163" s="16"/>
      <c r="C163" s="16"/>
      <c r="D163" s="16"/>
      <c r="E163" s="16"/>
      <c r="F163" s="16"/>
    </row>
    <row r="164" spans="1:6">
      <c r="A164" s="16" t="s">
        <v>87</v>
      </c>
      <c r="B164" s="16">
        <v>1</v>
      </c>
      <c r="C164" s="16" t="s">
        <v>50</v>
      </c>
      <c r="D164" s="16"/>
      <c r="E164" s="16"/>
      <c r="F164" s="16"/>
    </row>
    <row r="165" spans="1:6">
      <c r="A165" s="16" t="s">
        <v>128</v>
      </c>
      <c r="B165" s="17">
        <v>1.11111111111111E-9</v>
      </c>
      <c r="C165" s="16" t="s">
        <v>14</v>
      </c>
      <c r="D165" s="16"/>
      <c r="E165" s="16"/>
      <c r="F165" s="16"/>
    </row>
    <row r="166" spans="1:6">
      <c r="A166" s="16" t="s">
        <v>129</v>
      </c>
      <c r="B166" s="17">
        <v>1.6666666666666699E-7</v>
      </c>
      <c r="C166" s="16" t="s">
        <v>14</v>
      </c>
      <c r="D166" s="16"/>
      <c r="E166" s="16"/>
      <c r="F166" s="16"/>
    </row>
    <row r="167" spans="1:6">
      <c r="A167" s="16" t="s">
        <v>130</v>
      </c>
      <c r="B167" s="17">
        <v>4.4444444444444401E-7</v>
      </c>
      <c r="C167" s="16" t="s">
        <v>14</v>
      </c>
      <c r="D167" s="16"/>
      <c r="E167" s="16"/>
      <c r="F167" s="16"/>
    </row>
    <row r="168" spans="1:6">
      <c r="A168" s="17" t="s">
        <v>131</v>
      </c>
      <c r="B168" s="17">
        <v>1.11111111111111E-11</v>
      </c>
      <c r="C168" s="16" t="s">
        <v>14</v>
      </c>
      <c r="D168" s="16"/>
      <c r="E168" s="16"/>
      <c r="F168" s="16"/>
    </row>
    <row r="169" spans="1:6">
      <c r="A169" s="17" t="s">
        <v>132</v>
      </c>
      <c r="B169" s="17">
        <v>7.77777777777778E-7</v>
      </c>
      <c r="C169" s="16" t="s">
        <v>14</v>
      </c>
      <c r="D169" s="16"/>
      <c r="E169" s="16"/>
      <c r="F169" s="16"/>
    </row>
    <row r="170" spans="1:6">
      <c r="A170" s="17" t="s">
        <v>153</v>
      </c>
      <c r="B170" s="16">
        <v>6.22222222222222E-2</v>
      </c>
      <c r="C170" s="16" t="s">
        <v>14</v>
      </c>
      <c r="D170" s="16"/>
      <c r="E170" s="16"/>
      <c r="F170" s="16"/>
    </row>
    <row r="171" spans="1:6">
      <c r="A171" s="17" t="s">
        <v>154</v>
      </c>
      <c r="B171" s="17">
        <v>1.5555555555555599E-5</v>
      </c>
      <c r="C171" s="16" t="s">
        <v>14</v>
      </c>
      <c r="D171" s="16"/>
      <c r="E171" s="16"/>
      <c r="F171" s="16"/>
    </row>
    <row r="172" spans="1:6">
      <c r="A172" s="17" t="s">
        <v>93</v>
      </c>
      <c r="B172" s="17">
        <v>1.11111111111111E-7</v>
      </c>
      <c r="C172" s="16" t="s">
        <v>14</v>
      </c>
      <c r="D172" s="16"/>
      <c r="E172" s="16"/>
      <c r="F172" s="16"/>
    </row>
    <row r="173" spans="1:6">
      <c r="A173" s="16" t="s">
        <v>134</v>
      </c>
      <c r="B173" s="17">
        <v>3.3333333333333298E-17</v>
      </c>
      <c r="C173" s="16" t="s">
        <v>14</v>
      </c>
      <c r="D173" s="16"/>
      <c r="E173" s="16"/>
      <c r="F173" s="17"/>
    </row>
    <row r="174" spans="1:6">
      <c r="A174" s="16" t="s">
        <v>135</v>
      </c>
      <c r="B174" s="17">
        <v>1.11111111111111E-7</v>
      </c>
      <c r="C174" s="16" t="s">
        <v>14</v>
      </c>
      <c r="D174" s="16"/>
      <c r="E174" s="17"/>
      <c r="F174" s="16"/>
    </row>
    <row r="175" spans="1:6">
      <c r="A175" s="17" t="s">
        <v>136</v>
      </c>
      <c r="B175" s="17">
        <v>3.3333333333333302E-11</v>
      </c>
      <c r="C175" s="16" t="s">
        <v>14</v>
      </c>
      <c r="D175" s="16"/>
      <c r="E175" s="16"/>
      <c r="F175" s="16"/>
    </row>
    <row r="176" spans="1:6">
      <c r="A176" s="16" t="s">
        <v>155</v>
      </c>
      <c r="B176" s="17">
        <v>2.22222222222222E-6</v>
      </c>
      <c r="C176" s="16" t="s">
        <v>14</v>
      </c>
      <c r="D176" s="16"/>
      <c r="E176" s="16"/>
      <c r="F176" s="16"/>
    </row>
    <row r="177" spans="1:6">
      <c r="A177" s="16" t="s">
        <v>139</v>
      </c>
      <c r="B177" s="17">
        <v>2.5555555555555602E-5</v>
      </c>
      <c r="C177" s="16" t="s">
        <v>14</v>
      </c>
      <c r="D177" s="16"/>
      <c r="E177" s="16"/>
      <c r="F177" s="16"/>
    </row>
    <row r="178" spans="1:6">
      <c r="A178" s="16" t="s">
        <v>140</v>
      </c>
      <c r="B178" s="17">
        <v>1.11111111111111E-8</v>
      </c>
      <c r="C178" s="16" t="s">
        <v>14</v>
      </c>
      <c r="D178" s="16"/>
      <c r="E178" s="16"/>
      <c r="F178" s="16"/>
    </row>
    <row r="179" spans="1:6">
      <c r="A179" s="16" t="s">
        <v>141</v>
      </c>
      <c r="B179" s="17">
        <v>1.11111111111111E-7</v>
      </c>
      <c r="C179" s="16" t="s">
        <v>14</v>
      </c>
      <c r="D179" s="16"/>
      <c r="E179" s="16"/>
      <c r="F179" s="16"/>
    </row>
    <row r="180" spans="1:6">
      <c r="A180" s="17" t="s">
        <v>142</v>
      </c>
      <c r="B180" s="17">
        <v>1.33333333333333E-6</v>
      </c>
      <c r="C180" s="16" t="s">
        <v>14</v>
      </c>
      <c r="D180" s="16"/>
      <c r="E180" s="16"/>
      <c r="F180" s="16"/>
    </row>
    <row r="181" spans="1:6">
      <c r="A181" s="17" t="s">
        <v>143</v>
      </c>
      <c r="B181" s="17">
        <v>2.2222222222222201E-7</v>
      </c>
      <c r="C181" s="16" t="s">
        <v>14</v>
      </c>
      <c r="D181" s="16"/>
      <c r="E181" s="16"/>
      <c r="F181" s="16"/>
    </row>
    <row r="182" spans="1:6">
      <c r="A182" s="16" t="s">
        <v>144</v>
      </c>
      <c r="B182" s="17">
        <v>2.2222222222222201E-8</v>
      </c>
      <c r="C182" s="16" t="s">
        <v>14</v>
      </c>
      <c r="D182" s="16"/>
      <c r="E182" s="16"/>
      <c r="F182" s="16"/>
    </row>
    <row r="183" spans="1:6">
      <c r="A183" s="16" t="s">
        <v>120</v>
      </c>
      <c r="B183" s="17">
        <v>6.1111111111111095E-7</v>
      </c>
      <c r="C183" s="16" t="s">
        <v>14</v>
      </c>
      <c r="D183" s="16"/>
      <c r="E183" s="16"/>
      <c r="F183" s="16"/>
    </row>
    <row r="184" spans="1:6">
      <c r="A184" s="17" t="s">
        <v>147</v>
      </c>
      <c r="B184" s="17">
        <v>2.2222222222222201E-7</v>
      </c>
      <c r="C184" s="16" t="s">
        <v>14</v>
      </c>
      <c r="D184" s="16"/>
      <c r="E184" s="16"/>
      <c r="F184" s="16"/>
    </row>
    <row r="188" spans="1:6">
      <c r="B188" s="3"/>
    </row>
    <row r="189" spans="1:6">
      <c r="B189" s="3"/>
    </row>
    <row r="190" spans="1:6">
      <c r="B190" s="3"/>
    </row>
    <row r="197" spans="1:6">
      <c r="E197" s="3"/>
      <c r="F197" s="3"/>
    </row>
    <row r="198" spans="1:6">
      <c r="B198" s="3"/>
      <c r="E198" s="3"/>
      <c r="F198" s="3"/>
    </row>
    <row r="199" spans="1:6">
      <c r="B199" s="3"/>
      <c r="C199" s="3"/>
      <c r="E199" s="3"/>
      <c r="F199" s="3"/>
    </row>
    <row r="200" spans="1:6">
      <c r="B200" s="3"/>
      <c r="C200" s="3"/>
      <c r="E200" s="3"/>
      <c r="F200" s="3"/>
    </row>
    <row r="201" spans="1:6">
      <c r="B201" s="3"/>
      <c r="E201" s="3"/>
      <c r="F201" s="3"/>
    </row>
    <row r="202" spans="1:6">
      <c r="B202" s="3"/>
    </row>
    <row r="203" spans="1:6">
      <c r="A203" s="3"/>
      <c r="B203"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00B92-778E-4F8A-8937-1A3BB9E44CEF}">
  <dimension ref="A1:I362"/>
  <sheetViews>
    <sheetView zoomScale="80" zoomScaleNormal="85" workbookViewId="0">
      <pane ySplit="1" topLeftCell="A68" activePane="bottomLeft" state="frozen"/>
      <selection pane="bottomLeft" activeCell="C60" sqref="C60"/>
    </sheetView>
  </sheetViews>
  <sheetFormatPr baseColWidth="10" defaultColWidth="9" defaultRowHeight="14.25"/>
  <cols>
    <col min="1" max="1" width="55" bestFit="1" customWidth="1"/>
    <col min="2" max="2" width="28.75" bestFit="1" customWidth="1"/>
    <col min="3" max="3" width="22" customWidth="1"/>
    <col min="4" max="4" width="108" bestFit="1" customWidth="1"/>
    <col min="5" max="5" width="197" bestFit="1" customWidth="1"/>
    <col min="6" max="6" width="120.125" bestFit="1" customWidth="1"/>
    <col min="8" max="8" width="24.25" customWidth="1"/>
    <col min="11" max="11" width="147.25" bestFit="1" customWidth="1"/>
  </cols>
  <sheetData>
    <row r="1" spans="1:6" ht="15">
      <c r="A1" s="6" t="s">
        <v>6</v>
      </c>
      <c r="B1" s="6" t="s">
        <v>7</v>
      </c>
      <c r="C1" s="6" t="s">
        <v>8</v>
      </c>
      <c r="D1" s="6" t="s">
        <v>9</v>
      </c>
      <c r="E1" s="6" t="s">
        <v>10</v>
      </c>
      <c r="F1" s="6" t="s">
        <v>11</v>
      </c>
    </row>
    <row r="2" spans="1:6" ht="15">
      <c r="A2" s="7" t="s">
        <v>12</v>
      </c>
      <c r="B2" s="8"/>
      <c r="C2" s="8"/>
      <c r="D2" s="8"/>
      <c r="E2" s="8"/>
      <c r="F2" s="8"/>
    </row>
    <row r="3" spans="1:6">
      <c r="A3" s="9" t="s">
        <v>13</v>
      </c>
      <c r="B3" s="9">
        <v>37.18</v>
      </c>
      <c r="C3" s="9" t="s">
        <v>14</v>
      </c>
      <c r="D3" s="9" t="s">
        <v>15</v>
      </c>
      <c r="E3" s="9"/>
      <c r="F3" s="9"/>
    </row>
    <row r="4" spans="1:6">
      <c r="A4" s="9" t="s">
        <v>16</v>
      </c>
      <c r="B4" s="9">
        <v>0.71699999999999997</v>
      </c>
      <c r="C4" s="9" t="s">
        <v>17</v>
      </c>
      <c r="D4" s="9"/>
      <c r="E4" s="9"/>
      <c r="F4" s="9"/>
    </row>
    <row r="5" spans="1:6">
      <c r="A5" s="9" t="s">
        <v>18</v>
      </c>
      <c r="B5" s="9">
        <v>1.9770000000000001</v>
      </c>
      <c r="C5" s="9" t="s">
        <v>17</v>
      </c>
      <c r="D5" s="9"/>
      <c r="E5" s="9"/>
      <c r="F5" s="9"/>
    </row>
    <row r="6" spans="1:6">
      <c r="A6" s="9" t="s">
        <v>19</v>
      </c>
      <c r="B6" s="9">
        <f>B4*0.6+B5*0.4</f>
        <v>1.2210000000000001</v>
      </c>
      <c r="C6" s="9" t="s">
        <v>17</v>
      </c>
      <c r="D6" s="9"/>
      <c r="E6" s="9"/>
      <c r="F6" s="9"/>
    </row>
    <row r="7" spans="1:6">
      <c r="A7" s="9" t="s">
        <v>20</v>
      </c>
      <c r="B7" s="9">
        <f>1/(B10/B6)</f>
        <v>6.1979695431472077</v>
      </c>
      <c r="C7" s="9" t="s">
        <v>14</v>
      </c>
      <c r="D7" s="9" t="s">
        <v>21</v>
      </c>
      <c r="E7" s="9"/>
      <c r="F7" s="9"/>
    </row>
    <row r="8" spans="1:6">
      <c r="A8" s="9" t="s">
        <v>22</v>
      </c>
      <c r="B8" s="9">
        <v>1.53579</v>
      </c>
      <c r="C8" s="9" t="s">
        <v>23</v>
      </c>
      <c r="D8" s="9" t="s">
        <v>15</v>
      </c>
      <c r="E8" s="9"/>
      <c r="F8" s="9"/>
    </row>
    <row r="9" spans="1:6">
      <c r="A9" s="9" t="s">
        <v>24</v>
      </c>
      <c r="B9" s="9">
        <v>2.513E-2</v>
      </c>
      <c r="C9" s="9" t="s">
        <v>23</v>
      </c>
      <c r="D9" s="9" t="s">
        <v>15</v>
      </c>
      <c r="E9" s="9"/>
      <c r="F9" s="9"/>
    </row>
    <row r="10" spans="1:6">
      <c r="A10" s="9" t="s">
        <v>25</v>
      </c>
      <c r="B10" s="9">
        <v>0.19700000000000001</v>
      </c>
      <c r="C10" s="9" t="s">
        <v>14</v>
      </c>
      <c r="D10" s="9" t="s">
        <v>21</v>
      </c>
      <c r="E10" s="9"/>
      <c r="F10" s="9"/>
    </row>
    <row r="11" spans="1:6">
      <c r="A11" s="9" t="s">
        <v>26</v>
      </c>
      <c r="B11" s="9">
        <v>0.34</v>
      </c>
      <c r="C11" s="9" t="s">
        <v>14</v>
      </c>
      <c r="D11" s="9" t="s">
        <v>27</v>
      </c>
      <c r="E11" s="9"/>
      <c r="F11" s="9"/>
    </row>
    <row r="12" spans="1:6">
      <c r="A12" s="9" t="s">
        <v>28</v>
      </c>
      <c r="B12" s="9">
        <f>B10*0.8</f>
        <v>0.15760000000000002</v>
      </c>
      <c r="C12" s="9" t="s">
        <v>14</v>
      </c>
      <c r="D12" s="9"/>
      <c r="E12" s="9"/>
      <c r="F12" s="9"/>
    </row>
    <row r="13" spans="1:6">
      <c r="A13" s="9" t="s">
        <v>29</v>
      </c>
      <c r="B13" s="9">
        <f>B11*0.9</f>
        <v>0.30600000000000005</v>
      </c>
      <c r="C13" s="9" t="s">
        <v>14</v>
      </c>
      <c r="D13" s="9"/>
      <c r="E13" s="9"/>
      <c r="F13" s="9"/>
    </row>
    <row r="14" spans="1:6">
      <c r="A14" s="9" t="s">
        <v>30</v>
      </c>
      <c r="B14" s="9">
        <f>B12/(SUM(B10:B11))</f>
        <v>0.29348230912476725</v>
      </c>
      <c r="C14" s="9" t="s">
        <v>14</v>
      </c>
      <c r="D14" s="9"/>
      <c r="E14" s="9"/>
      <c r="F14" s="9"/>
    </row>
    <row r="15" spans="1:6">
      <c r="A15" s="9"/>
      <c r="B15" s="9">
        <f>B14/B6</f>
        <v>0.24036225153543589</v>
      </c>
      <c r="C15" s="9" t="s">
        <v>31</v>
      </c>
      <c r="D15" s="9"/>
      <c r="E15" s="9"/>
      <c r="F15" s="9"/>
    </row>
    <row r="16" spans="1:6">
      <c r="A16" s="9" t="s">
        <v>32</v>
      </c>
      <c r="B16" s="9">
        <f>B13/SUM(B10:B11)</f>
        <v>0.56983240223463694</v>
      </c>
      <c r="C16" s="9" t="s">
        <v>14</v>
      </c>
      <c r="D16" s="9"/>
      <c r="E16" s="9"/>
      <c r="F16" s="9"/>
    </row>
    <row r="17" spans="1:6">
      <c r="A17" s="9"/>
      <c r="B17" s="9">
        <f>B16/1000</f>
        <v>5.6983240223463692E-4</v>
      </c>
      <c r="C17" s="9" t="s">
        <v>31</v>
      </c>
      <c r="D17" s="9"/>
      <c r="E17" s="9"/>
      <c r="F17" s="9"/>
    </row>
    <row r="18" spans="1:6">
      <c r="A18" s="9" t="s">
        <v>33</v>
      </c>
      <c r="B18" s="9">
        <v>0.85</v>
      </c>
      <c r="C18" s="9"/>
      <c r="D18" s="9"/>
      <c r="E18" s="9" t="s">
        <v>34</v>
      </c>
      <c r="F18" s="9"/>
    </row>
    <row r="19" spans="1:6">
      <c r="A19" s="9" t="s">
        <v>35</v>
      </c>
      <c r="B19" s="9">
        <v>0.7</v>
      </c>
      <c r="C19" s="9"/>
      <c r="D19" s="9"/>
      <c r="E19" s="9"/>
      <c r="F19" s="9"/>
    </row>
    <row r="20" spans="1:6">
      <c r="A20" s="49" t="s">
        <v>36</v>
      </c>
      <c r="B20" s="50">
        <v>3.1E-2</v>
      </c>
      <c r="C20" s="9"/>
      <c r="D20" s="9"/>
      <c r="E20" s="9"/>
      <c r="F20" s="9"/>
    </row>
    <row r="21" spans="1:6">
      <c r="A21" s="49" t="s">
        <v>37</v>
      </c>
      <c r="B21" s="50">
        <v>2.9000000000000001E-2</v>
      </c>
      <c r="C21" s="9"/>
      <c r="D21" s="9"/>
      <c r="E21" s="9"/>
      <c r="F21" s="9"/>
    </row>
    <row r="22" spans="1:6">
      <c r="A22" s="49" t="s">
        <v>38</v>
      </c>
      <c r="B22" s="50">
        <v>2.9000000000000001E-2</v>
      </c>
      <c r="C22" s="9"/>
      <c r="D22" s="9"/>
      <c r="E22" s="9"/>
      <c r="F22" s="9"/>
    </row>
    <row r="23" spans="1:6">
      <c r="A23" s="9" t="s">
        <v>39</v>
      </c>
      <c r="B23" s="48">
        <v>142</v>
      </c>
      <c r="C23" s="9" t="s">
        <v>40</v>
      </c>
      <c r="D23" s="9"/>
      <c r="E23" s="9"/>
      <c r="F23" s="9"/>
    </row>
    <row r="24" spans="1:6">
      <c r="A24" s="9" t="s">
        <v>41</v>
      </c>
      <c r="B24" s="48">
        <f>39*2+16</f>
        <v>94</v>
      </c>
      <c r="C24" s="9" t="s">
        <v>40</v>
      </c>
      <c r="D24" s="9"/>
      <c r="E24" s="9"/>
      <c r="F24" s="9"/>
    </row>
    <row r="25" spans="1:6">
      <c r="A25" s="9" t="s">
        <v>42</v>
      </c>
      <c r="B25" s="48">
        <v>20.7</v>
      </c>
      <c r="C25" s="9"/>
      <c r="D25" s="9"/>
      <c r="E25" s="9"/>
      <c r="F25" s="9"/>
    </row>
    <row r="27" spans="1:6" ht="15">
      <c r="A27" s="10" t="s">
        <v>43</v>
      </c>
      <c r="B27" s="11"/>
      <c r="C27" s="11"/>
      <c r="D27" s="11"/>
      <c r="E27" s="11"/>
      <c r="F27" s="11"/>
    </row>
    <row r="28" spans="1:6" ht="15">
      <c r="A28" s="12" t="s">
        <v>44</v>
      </c>
      <c r="B28" s="13"/>
      <c r="C28" s="11"/>
      <c r="D28" s="11"/>
      <c r="E28" s="13"/>
      <c r="F28" s="11"/>
    </row>
    <row r="29" spans="1:6">
      <c r="A29" s="11" t="s">
        <v>45</v>
      </c>
      <c r="B29" s="11">
        <v>1</v>
      </c>
      <c r="C29" s="11" t="s">
        <v>46</v>
      </c>
      <c r="D29" s="11"/>
      <c r="E29" s="11"/>
      <c r="F29" s="11"/>
    </row>
    <row r="30" spans="1:6">
      <c r="A30" s="11" t="s">
        <v>47</v>
      </c>
      <c r="B30" s="11">
        <f>B15/B8</f>
        <v>0.15650723831737146</v>
      </c>
      <c r="C30" s="11" t="s">
        <v>46</v>
      </c>
      <c r="D30" s="11"/>
      <c r="E30" s="11"/>
      <c r="F30" s="11"/>
    </row>
    <row r="31" spans="1:6">
      <c r="A31" s="11" t="s">
        <v>48</v>
      </c>
      <c r="B31" s="11">
        <v>1</v>
      </c>
      <c r="C31" s="11" t="s">
        <v>46</v>
      </c>
      <c r="D31" s="11"/>
      <c r="E31" s="11"/>
      <c r="F31" s="11"/>
    </row>
    <row r="32" spans="1:6">
      <c r="A32" s="11" t="s">
        <v>49</v>
      </c>
      <c r="B32" s="11">
        <f>B30/B9</f>
        <v>6.2279044296606232</v>
      </c>
      <c r="C32" s="11" t="s">
        <v>50</v>
      </c>
      <c r="D32" s="11"/>
      <c r="E32" s="11"/>
      <c r="F32" s="11"/>
    </row>
    <row r="33" spans="1:6">
      <c r="A33" s="11" t="s">
        <v>51</v>
      </c>
      <c r="B33" s="11">
        <f>-B32</f>
        <v>-6.2279044296606232</v>
      </c>
      <c r="C33" s="11" t="s">
        <v>50</v>
      </c>
      <c r="D33" s="11"/>
      <c r="E33" s="11"/>
      <c r="F33" s="11" t="s">
        <v>52</v>
      </c>
    </row>
    <row r="34" spans="1:6">
      <c r="A34" s="11" t="s">
        <v>53</v>
      </c>
      <c r="B34" s="11">
        <v>1</v>
      </c>
      <c r="C34" s="11" t="s">
        <v>46</v>
      </c>
      <c r="D34" s="11"/>
      <c r="E34" s="11"/>
      <c r="F34" s="11"/>
    </row>
    <row r="35" spans="1:6">
      <c r="A35" s="11" t="s">
        <v>54</v>
      </c>
      <c r="B35" s="11">
        <v>1</v>
      </c>
      <c r="C35" s="11" t="s">
        <v>46</v>
      </c>
      <c r="D35" s="11"/>
      <c r="E35" s="11"/>
      <c r="F35" s="11"/>
    </row>
    <row r="36" spans="1:6">
      <c r="A36" s="11" t="s">
        <v>55</v>
      </c>
      <c r="B36" s="14">
        <f>-B84*(1-B19)*B20</f>
        <v>-2.649720670391062E-3</v>
      </c>
      <c r="C36" s="11" t="s">
        <v>14</v>
      </c>
      <c r="D36" s="11"/>
      <c r="E36" s="11"/>
      <c r="F36" s="11" t="s">
        <v>56</v>
      </c>
    </row>
    <row r="37" spans="1:6">
      <c r="A37" s="11" t="s">
        <v>57</v>
      </c>
      <c r="B37" s="14">
        <f>-B84*(1-$B$19)*(B25/100)*B21*(B23/62)</f>
        <v>-1.1751773112272487E-3</v>
      </c>
      <c r="C37" s="11" t="s">
        <v>14</v>
      </c>
      <c r="D37" s="11"/>
      <c r="E37" s="11"/>
      <c r="F37" s="11" t="s">
        <v>58</v>
      </c>
    </row>
    <row r="38" spans="1:6">
      <c r="A38" s="11" t="s">
        <v>59</v>
      </c>
      <c r="B38" s="14">
        <f>-B84*(1-$B$19)*(B25/100)*B22*(B24/78)</f>
        <v>-6.1835801461108736E-4</v>
      </c>
      <c r="C38" s="11" t="s">
        <v>14</v>
      </c>
      <c r="D38" s="11"/>
      <c r="E38" s="11"/>
      <c r="F38" s="11" t="s">
        <v>60</v>
      </c>
    </row>
    <row r="39" spans="1:6">
      <c r="A39" s="11"/>
      <c r="B39" s="11"/>
      <c r="C39" s="11"/>
      <c r="D39" s="11"/>
      <c r="E39" s="11"/>
      <c r="F39" s="11"/>
    </row>
    <row r="40" spans="1:6" ht="15">
      <c r="A40" s="12" t="s">
        <v>61</v>
      </c>
      <c r="B40" s="11"/>
      <c r="C40" s="11"/>
      <c r="D40" s="11"/>
      <c r="E40" s="11"/>
      <c r="F40" s="11"/>
    </row>
    <row r="41" spans="1:6">
      <c r="A41" s="11" t="s">
        <v>62</v>
      </c>
      <c r="B41" s="11">
        <v>1</v>
      </c>
      <c r="C41" s="11" t="s">
        <v>14</v>
      </c>
      <c r="D41" s="11"/>
      <c r="E41" s="11"/>
      <c r="F41" s="11"/>
    </row>
    <row r="43" spans="1:6" ht="15">
      <c r="A43" s="30" t="s">
        <v>63</v>
      </c>
      <c r="B43" s="16"/>
      <c r="C43" s="16"/>
      <c r="D43" s="16"/>
      <c r="E43" s="16"/>
      <c r="F43" s="16"/>
    </row>
    <row r="44" spans="1:6" ht="15">
      <c r="A44" s="15" t="s">
        <v>44</v>
      </c>
      <c r="B44" s="16"/>
      <c r="C44" s="16"/>
      <c r="D44" s="16"/>
      <c r="E44" s="16"/>
      <c r="F44" s="16"/>
    </row>
    <row r="45" spans="1:6">
      <c r="A45" s="16" t="s">
        <v>64</v>
      </c>
      <c r="B45" s="16">
        <f>20/1500</f>
        <v>1.3333333333333334E-2</v>
      </c>
      <c r="C45" s="16" t="s">
        <v>65</v>
      </c>
      <c r="D45" s="16" t="s">
        <v>66</v>
      </c>
      <c r="E45" s="16" t="s">
        <v>67</v>
      </c>
      <c r="F45" s="16" t="s">
        <v>68</v>
      </c>
    </row>
    <row r="46" spans="1:6">
      <c r="A46" s="16" t="s">
        <v>69</v>
      </c>
      <c r="B46" s="17">
        <f>2000/(20*3000*1500)</f>
        <v>2.2222222222222223E-5</v>
      </c>
      <c r="C46" s="16" t="s">
        <v>70</v>
      </c>
      <c r="D46" s="16" t="s">
        <v>66</v>
      </c>
      <c r="E46" s="16" t="s">
        <v>71</v>
      </c>
      <c r="F46" s="16" t="s">
        <v>72</v>
      </c>
    </row>
    <row r="47" spans="1:6">
      <c r="A47" s="16"/>
      <c r="B47" s="16"/>
      <c r="C47" s="16"/>
      <c r="D47" s="16"/>
      <c r="E47" s="16"/>
      <c r="F47" s="16"/>
    </row>
    <row r="48" spans="1:6" ht="15">
      <c r="A48" s="15" t="s">
        <v>61</v>
      </c>
      <c r="B48" s="16"/>
      <c r="C48" s="16"/>
      <c r="D48" s="16"/>
      <c r="E48" s="16"/>
      <c r="F48" s="16"/>
    </row>
    <row r="49" spans="1:6">
      <c r="A49" s="16" t="s">
        <v>48</v>
      </c>
      <c r="B49" s="16">
        <v>1</v>
      </c>
      <c r="C49" s="16" t="s">
        <v>73</v>
      </c>
      <c r="D49" s="16"/>
      <c r="E49" s="16"/>
      <c r="F49" s="16"/>
    </row>
    <row r="51" spans="1:6" ht="15">
      <c r="A51" s="31" t="s">
        <v>74</v>
      </c>
      <c r="B51" s="19"/>
      <c r="C51" s="19"/>
      <c r="D51" s="19"/>
      <c r="E51" s="19"/>
      <c r="F51" s="19"/>
    </row>
    <row r="52" spans="1:6" ht="15">
      <c r="A52" s="18" t="s">
        <v>44</v>
      </c>
      <c r="B52" s="19"/>
      <c r="C52" s="19"/>
      <c r="D52" s="19"/>
      <c r="E52" s="19"/>
      <c r="F52" s="19"/>
    </row>
    <row r="53" spans="1:6">
      <c r="A53" s="19" t="s">
        <v>64</v>
      </c>
      <c r="B53" s="19">
        <f>20/1500</f>
        <v>1.3333333333333334E-2</v>
      </c>
      <c r="C53" s="19" t="s">
        <v>65</v>
      </c>
      <c r="D53" s="19"/>
      <c r="E53" s="19" t="s">
        <v>75</v>
      </c>
      <c r="F53" s="19" t="s">
        <v>68</v>
      </c>
    </row>
    <row r="54" spans="1:6">
      <c r="A54" s="19" t="s">
        <v>69</v>
      </c>
      <c r="B54" s="19">
        <f>2000/(20*3000*1500)</f>
        <v>2.2222222222222223E-5</v>
      </c>
      <c r="C54" s="19" t="s">
        <v>70</v>
      </c>
      <c r="D54" s="19"/>
      <c r="E54" s="19"/>
      <c r="F54" s="19" t="s">
        <v>72</v>
      </c>
    </row>
    <row r="55" spans="1:6">
      <c r="A55" s="19"/>
      <c r="B55" s="19"/>
      <c r="C55" s="19"/>
      <c r="D55" s="19"/>
      <c r="E55" s="19"/>
      <c r="F55" s="19"/>
    </row>
    <row r="56" spans="1:6" ht="15">
      <c r="A56" s="18" t="s">
        <v>76</v>
      </c>
      <c r="B56" s="19"/>
      <c r="C56" s="19"/>
      <c r="D56" s="19"/>
      <c r="E56" s="19"/>
      <c r="F56" s="19"/>
    </row>
    <row r="57" spans="1:6">
      <c r="A57" s="19" t="s">
        <v>53</v>
      </c>
      <c r="B57" s="19">
        <v>1</v>
      </c>
      <c r="C57" s="19" t="s">
        <v>73</v>
      </c>
      <c r="D57" s="19"/>
      <c r="E57" s="19"/>
      <c r="F57" s="19"/>
    </row>
    <row r="58" spans="1:6">
      <c r="A58" s="19" t="s">
        <v>77</v>
      </c>
      <c r="B58" s="19">
        <v>0.2</v>
      </c>
      <c r="C58" s="19" t="s">
        <v>14</v>
      </c>
      <c r="D58" s="19"/>
      <c r="E58" s="19"/>
      <c r="F58" s="19" t="s">
        <v>78</v>
      </c>
    </row>
    <row r="60" spans="1:6" ht="15">
      <c r="A60" s="32" t="s">
        <v>79</v>
      </c>
      <c r="B60" s="22" t="s">
        <v>80</v>
      </c>
      <c r="C60" s="22">
        <f>B7/B3*0.8</f>
        <v>0.13336136725437781</v>
      </c>
      <c r="D60" s="21" t="s">
        <v>81</v>
      </c>
      <c r="E60" s="22" t="s">
        <v>82</v>
      </c>
      <c r="F60" s="22"/>
    </row>
    <row r="61" spans="1:6" ht="15">
      <c r="A61" s="21" t="s">
        <v>44</v>
      </c>
      <c r="B61" s="22"/>
      <c r="C61" s="22"/>
      <c r="D61" s="22"/>
      <c r="E61" s="22"/>
      <c r="F61" s="22"/>
    </row>
    <row r="62" spans="1:6">
      <c r="A62" s="22" t="s">
        <v>83</v>
      </c>
      <c r="B62" s="22">
        <f>2.86000299914824E-07*C60</f>
        <v>3.8141391031803036E-8</v>
      </c>
      <c r="C62" s="22" t="s">
        <v>46</v>
      </c>
      <c r="D62" s="22"/>
      <c r="E62" s="22"/>
      <c r="F62" s="22" t="s">
        <v>84</v>
      </c>
    </row>
    <row r="63" spans="1:6">
      <c r="A63" s="22" t="s">
        <v>85</v>
      </c>
      <c r="B63" s="22">
        <f>0.158*C60</f>
        <v>2.1071096026191692E-2</v>
      </c>
      <c r="C63" s="22" t="s">
        <v>86</v>
      </c>
      <c r="D63" s="22"/>
      <c r="E63" s="22"/>
      <c r="F63" s="22" t="s">
        <v>68</v>
      </c>
    </row>
    <row r="64" spans="1:6">
      <c r="A64" s="22" t="s">
        <v>87</v>
      </c>
      <c r="B64" s="22">
        <f>3.47*C60</f>
        <v>0.46276394437269103</v>
      </c>
      <c r="C64" s="22" t="s">
        <v>50</v>
      </c>
      <c r="D64" s="22"/>
      <c r="E64" s="22"/>
      <c r="F64" s="22" t="s">
        <v>88</v>
      </c>
    </row>
    <row r="65" spans="1:6" ht="15">
      <c r="A65" s="21"/>
      <c r="B65" s="22"/>
      <c r="C65" s="22"/>
      <c r="D65" s="22"/>
      <c r="E65" s="22"/>
      <c r="F65" s="22"/>
    </row>
    <row r="66" spans="1:6" ht="15">
      <c r="A66" s="21" t="s">
        <v>76</v>
      </c>
      <c r="B66" s="22"/>
      <c r="C66" s="22"/>
      <c r="D66" s="22"/>
      <c r="E66" s="22"/>
      <c r="F66" s="22"/>
    </row>
    <row r="67" spans="1:6">
      <c r="A67" s="22" t="s">
        <v>45</v>
      </c>
      <c r="B67" s="22">
        <v>1</v>
      </c>
      <c r="C67" s="22" t="s">
        <v>46</v>
      </c>
      <c r="D67" s="22"/>
      <c r="E67" s="22"/>
      <c r="F67" s="22"/>
    </row>
    <row r="68" spans="1:6">
      <c r="A68" s="22" t="s">
        <v>89</v>
      </c>
      <c r="B68" s="22">
        <f>B15</f>
        <v>0.24036225153543589</v>
      </c>
      <c r="C68" s="22" t="s">
        <v>23</v>
      </c>
      <c r="D68" s="22"/>
      <c r="E68" s="22"/>
      <c r="F68" s="22"/>
    </row>
    <row r="69" spans="1:6">
      <c r="A69" s="22" t="s">
        <v>90</v>
      </c>
      <c r="B69" s="23">
        <f>B16</f>
        <v>0.56983240223463694</v>
      </c>
      <c r="C69" s="22" t="s">
        <v>14</v>
      </c>
      <c r="D69" s="23"/>
      <c r="E69" s="22"/>
      <c r="F69" s="22"/>
    </row>
    <row r="70" spans="1:6">
      <c r="A70" s="22" t="s">
        <v>91</v>
      </c>
      <c r="B70" s="22">
        <f>0.000249998755985205*C60</f>
        <v>3.3340175910080511E-5</v>
      </c>
      <c r="C70" s="22" t="s">
        <v>14</v>
      </c>
      <c r="D70" s="22"/>
      <c r="E70" s="22"/>
      <c r="F70" s="22"/>
    </row>
    <row r="71" spans="1:6">
      <c r="A71" s="22" t="s">
        <v>92</v>
      </c>
      <c r="B71" s="22">
        <f>0.0708948966079666*C60</f>
        <v>9.4546403429961786E-3</v>
      </c>
      <c r="C71" s="22" t="s">
        <v>14</v>
      </c>
      <c r="D71" s="22"/>
      <c r="E71" s="22"/>
      <c r="F71" s="22"/>
    </row>
    <row r="72" spans="1:6">
      <c r="A72" s="22" t="s">
        <v>93</v>
      </c>
      <c r="B72" s="22">
        <f>0.0000749996267955615*C60</f>
        <v>1.0002052773024152E-5</v>
      </c>
      <c r="C72" s="22" t="s">
        <v>14</v>
      </c>
      <c r="D72" s="22"/>
      <c r="E72" s="22"/>
      <c r="F72" s="22"/>
    </row>
    <row r="73" spans="1:6">
      <c r="A73" s="22" t="s">
        <v>94</v>
      </c>
      <c r="B73" s="22">
        <f>0.000041275832256505*C60</f>
        <v>5.5046014242898571E-6</v>
      </c>
      <c r="C73" s="22" t="s">
        <v>14</v>
      </c>
      <c r="D73" s="22"/>
      <c r="E73" s="22"/>
      <c r="F73" s="22"/>
    </row>
    <row r="74" spans="1:6">
      <c r="A74" s="22" t="s">
        <v>95</v>
      </c>
      <c r="B74" s="22">
        <f>0.00527997372640753*C60</f>
        <v>7.0414451522090031E-4</v>
      </c>
      <c r="C74" s="22" t="s">
        <v>14</v>
      </c>
      <c r="D74" s="22"/>
      <c r="E74" s="22"/>
      <c r="F74" s="22"/>
    </row>
    <row r="76" spans="1:6" ht="15">
      <c r="A76" s="31" t="s">
        <v>96</v>
      </c>
      <c r="B76" s="19"/>
      <c r="C76" s="19"/>
      <c r="D76" s="19"/>
      <c r="E76" s="19"/>
      <c r="F76" s="19"/>
    </row>
    <row r="77" spans="1:6" ht="15">
      <c r="A77" s="18" t="s">
        <v>44</v>
      </c>
      <c r="B77" s="19"/>
      <c r="C77" s="19"/>
      <c r="D77" s="19"/>
      <c r="E77" s="19"/>
      <c r="F77" s="19"/>
    </row>
    <row r="78" spans="1:6">
      <c r="A78" s="19" t="s">
        <v>85</v>
      </c>
      <c r="B78" s="20">
        <f>7.5/780*B69</f>
        <v>5.4791577137945861E-3</v>
      </c>
      <c r="C78" s="19" t="s">
        <v>65</v>
      </c>
      <c r="D78" s="19" t="s">
        <v>97</v>
      </c>
      <c r="E78" s="19" t="s">
        <v>98</v>
      </c>
      <c r="F78" s="19" t="s">
        <v>68</v>
      </c>
    </row>
    <row r="79" spans="1:6">
      <c r="A79" s="19" t="s">
        <v>99</v>
      </c>
      <c r="B79" s="20">
        <f>3000/(20*3000*780)</f>
        <v>6.4102564102564103E-5</v>
      </c>
      <c r="C79" s="19" t="s">
        <v>14</v>
      </c>
      <c r="D79" s="58" t="s">
        <v>100</v>
      </c>
      <c r="E79" s="19" t="s">
        <v>101</v>
      </c>
      <c r="F79" s="19" t="s">
        <v>72</v>
      </c>
    </row>
    <row r="80" spans="1:6">
      <c r="A80" s="19"/>
      <c r="B80" s="19"/>
      <c r="C80" s="19"/>
      <c r="D80" s="19"/>
      <c r="E80" s="19"/>
      <c r="F80" s="19"/>
    </row>
    <row r="81" spans="1:6" ht="15">
      <c r="A81" s="18" t="s">
        <v>76</v>
      </c>
      <c r="B81" s="19"/>
      <c r="C81" s="19"/>
      <c r="D81" s="19"/>
      <c r="E81" s="19"/>
      <c r="F81" s="19"/>
    </row>
    <row r="82" spans="1:6">
      <c r="A82" s="19" t="s">
        <v>54</v>
      </c>
      <c r="B82" s="19">
        <v>1</v>
      </c>
      <c r="C82" s="19" t="s">
        <v>102</v>
      </c>
      <c r="D82" s="19"/>
      <c r="E82" s="19"/>
      <c r="F82" s="19"/>
    </row>
    <row r="83" spans="1:6">
      <c r="A83" s="19" t="s">
        <v>103</v>
      </c>
      <c r="B83" s="20">
        <f>(B69-B84)/1000</f>
        <v>2.8491620111731846E-4</v>
      </c>
      <c r="C83" s="19" t="s">
        <v>23</v>
      </c>
      <c r="D83" s="19"/>
      <c r="E83" s="19"/>
      <c r="F83" s="19" t="s">
        <v>104</v>
      </c>
    </row>
    <row r="84" spans="1:6">
      <c r="A84" s="19" t="s">
        <v>105</v>
      </c>
      <c r="B84" s="20">
        <f>B69*0.15/0.3</f>
        <v>0.28491620111731847</v>
      </c>
      <c r="C84" s="19" t="s">
        <v>14</v>
      </c>
      <c r="D84" s="19"/>
      <c r="E84" s="19" t="s">
        <v>106</v>
      </c>
      <c r="F84" s="19"/>
    </row>
    <row r="86" spans="1:6" ht="15">
      <c r="A86" s="33" t="s">
        <v>107</v>
      </c>
      <c r="B86" s="24"/>
      <c r="C86" s="25"/>
      <c r="D86" s="24" t="s">
        <v>108</v>
      </c>
      <c r="E86" s="25"/>
      <c r="F86" s="25"/>
    </row>
    <row r="87" spans="1:6" ht="15">
      <c r="A87" s="24" t="s">
        <v>44</v>
      </c>
      <c r="B87" s="25"/>
      <c r="C87" s="25"/>
      <c r="D87" s="25"/>
      <c r="E87" s="25"/>
      <c r="F87" s="25"/>
    </row>
    <row r="88" spans="1:6">
      <c r="A88" s="25" t="s">
        <v>109</v>
      </c>
      <c r="B88" s="26">
        <v>2.0799999999999999E-4</v>
      </c>
      <c r="C88" s="25" t="s">
        <v>14</v>
      </c>
      <c r="D88" s="25"/>
      <c r="E88" s="25"/>
      <c r="F88" s="25" t="s">
        <v>110</v>
      </c>
    </row>
    <row r="89" spans="1:6">
      <c r="A89" s="25" t="s">
        <v>111</v>
      </c>
      <c r="B89" s="26">
        <v>5.4000000000000001E-11</v>
      </c>
      <c r="C89" s="25" t="s">
        <v>46</v>
      </c>
      <c r="D89" s="25"/>
      <c r="E89" s="25"/>
      <c r="F89" s="25" t="s">
        <v>112</v>
      </c>
    </row>
    <row r="90" spans="1:6">
      <c r="A90" s="25" t="s">
        <v>85</v>
      </c>
      <c r="B90" s="25">
        <v>0.18562874251497</v>
      </c>
      <c r="C90" s="25" t="s">
        <v>86</v>
      </c>
      <c r="D90" s="25"/>
      <c r="E90" s="25"/>
      <c r="F90" s="25" t="s">
        <v>68</v>
      </c>
    </row>
    <row r="91" spans="1:6">
      <c r="A91" s="25" t="s">
        <v>113</v>
      </c>
      <c r="B91" s="26">
        <v>1.4999999999999999E-4</v>
      </c>
      <c r="C91" s="25" t="s">
        <v>14</v>
      </c>
      <c r="D91" s="25"/>
      <c r="E91" s="25"/>
      <c r="F91" s="25" t="s">
        <v>114</v>
      </c>
    </row>
    <row r="92" spans="1:6">
      <c r="A92" s="25" t="s">
        <v>115</v>
      </c>
      <c r="B92" s="26">
        <v>3.98E-6</v>
      </c>
      <c r="C92" s="25" t="s">
        <v>14</v>
      </c>
      <c r="D92" s="25"/>
      <c r="E92" s="25"/>
      <c r="F92" s="25" t="s">
        <v>116</v>
      </c>
    </row>
    <row r="93" spans="1:6">
      <c r="A93" s="25"/>
      <c r="B93" s="25"/>
      <c r="C93" s="25"/>
      <c r="D93" s="25"/>
      <c r="E93" s="25"/>
      <c r="F93" s="25"/>
    </row>
    <row r="94" spans="1:6" ht="15">
      <c r="A94" s="24" t="s">
        <v>61</v>
      </c>
      <c r="B94" s="25"/>
      <c r="C94" s="25"/>
      <c r="D94" s="25"/>
      <c r="E94" s="25"/>
      <c r="F94" s="25"/>
    </row>
    <row r="95" spans="1:6">
      <c r="A95" s="25" t="s">
        <v>47</v>
      </c>
      <c r="B95" s="25">
        <v>1</v>
      </c>
      <c r="C95" s="25" t="s">
        <v>46</v>
      </c>
      <c r="D95" s="25"/>
      <c r="E95" s="25"/>
      <c r="F95" s="25"/>
    </row>
    <row r="96" spans="1:6">
      <c r="A96" s="25" t="s">
        <v>117</v>
      </c>
      <c r="B96" s="25">
        <v>1</v>
      </c>
      <c r="C96" s="25" t="s">
        <v>23</v>
      </c>
      <c r="D96" s="25"/>
      <c r="E96" s="25"/>
      <c r="F96" s="25"/>
    </row>
    <row r="97" spans="1:6">
      <c r="A97" s="25" t="s">
        <v>92</v>
      </c>
      <c r="B97" s="26">
        <v>0.97457000000000005</v>
      </c>
      <c r="C97" s="25" t="s">
        <v>14</v>
      </c>
      <c r="D97" s="25"/>
      <c r="E97" s="25"/>
      <c r="F97" s="25"/>
    </row>
    <row r="98" spans="1:6">
      <c r="A98" s="25" t="s">
        <v>118</v>
      </c>
      <c r="B98" s="26">
        <v>1.28</v>
      </c>
      <c r="C98" s="25" t="s">
        <v>50</v>
      </c>
      <c r="D98" s="25"/>
      <c r="E98" s="25"/>
      <c r="F98" s="25"/>
    </row>
    <row r="99" spans="1:6">
      <c r="A99" s="25" t="s">
        <v>94</v>
      </c>
      <c r="B99" s="26">
        <v>6.7000000000000002E-6</v>
      </c>
      <c r="C99" s="25" t="s">
        <v>14</v>
      </c>
      <c r="D99" s="25"/>
      <c r="E99" s="25"/>
      <c r="F99" s="25"/>
    </row>
    <row r="100" spans="1:6">
      <c r="A100" s="25" t="s">
        <v>95</v>
      </c>
      <c r="B100" s="25">
        <v>8.6E-3</v>
      </c>
      <c r="C100" s="25" t="s">
        <v>14</v>
      </c>
      <c r="D100" s="25"/>
      <c r="E100" s="25"/>
      <c r="F100" s="25"/>
    </row>
    <row r="101" spans="1:6">
      <c r="A101" s="25" t="s">
        <v>119</v>
      </c>
      <c r="B101" s="25">
        <v>4.8779999999999997E-2</v>
      </c>
      <c r="C101" s="25" t="s">
        <v>14</v>
      </c>
      <c r="D101" s="25"/>
      <c r="E101" s="25"/>
      <c r="F101" s="25"/>
    </row>
    <row r="102" spans="1:6">
      <c r="A102" s="25" t="s">
        <v>120</v>
      </c>
      <c r="B102" s="26">
        <v>6.5989999999999998E-6</v>
      </c>
      <c r="C102" s="25" t="s">
        <v>14</v>
      </c>
      <c r="D102" s="57"/>
      <c r="E102" s="25"/>
      <c r="F102" s="25"/>
    </row>
    <row r="104" spans="1:6" ht="15">
      <c r="A104" s="34" t="s">
        <v>49</v>
      </c>
      <c r="B104" s="28"/>
      <c r="C104" s="28"/>
      <c r="D104" s="27" t="s">
        <v>121</v>
      </c>
      <c r="E104" s="28"/>
      <c r="F104" s="28"/>
    </row>
    <row r="105" spans="1:6" ht="15">
      <c r="A105" s="27" t="s">
        <v>44</v>
      </c>
      <c r="B105" s="28"/>
      <c r="C105" s="28"/>
      <c r="D105" s="28"/>
      <c r="E105" s="28"/>
      <c r="F105" s="28"/>
    </row>
    <row r="106" spans="1:6">
      <c r="A106" s="28" t="s">
        <v>85</v>
      </c>
      <c r="B106" s="28">
        <v>2.7244000000000001E-3</v>
      </c>
      <c r="C106" s="28" t="s">
        <v>86</v>
      </c>
      <c r="D106" s="28"/>
      <c r="E106" s="28"/>
      <c r="F106" s="28" t="s">
        <v>68</v>
      </c>
    </row>
    <row r="107" spans="1:6">
      <c r="A107" s="28" t="s">
        <v>122</v>
      </c>
      <c r="B107" s="29">
        <v>6.4679999999999999E-7</v>
      </c>
      <c r="C107" s="28" t="s">
        <v>46</v>
      </c>
      <c r="D107" s="28"/>
      <c r="E107" s="28"/>
      <c r="F107" s="28" t="s">
        <v>123</v>
      </c>
    </row>
    <row r="108" spans="1:6">
      <c r="A108" s="28"/>
      <c r="B108" s="28"/>
      <c r="C108" s="28"/>
      <c r="D108" s="28"/>
      <c r="E108" s="28"/>
      <c r="F108" s="28"/>
    </row>
    <row r="109" spans="1:6" ht="15">
      <c r="A109" s="27" t="s">
        <v>61</v>
      </c>
      <c r="B109" s="28"/>
      <c r="C109" s="28"/>
      <c r="D109" s="28"/>
      <c r="E109" s="28"/>
      <c r="F109" s="28"/>
    </row>
    <row r="110" spans="1:6">
      <c r="A110" s="28" t="s">
        <v>124</v>
      </c>
      <c r="B110" s="28">
        <v>1</v>
      </c>
      <c r="C110" s="28" t="s">
        <v>46</v>
      </c>
      <c r="D110" s="28"/>
      <c r="E110" s="28"/>
      <c r="F110" s="28"/>
    </row>
    <row r="111" spans="1:6">
      <c r="A111" s="28" t="s">
        <v>125</v>
      </c>
      <c r="B111" s="28">
        <v>0</v>
      </c>
      <c r="C111" s="28" t="s">
        <v>50</v>
      </c>
      <c r="D111" s="28"/>
      <c r="E111" s="28" t="s">
        <v>126</v>
      </c>
      <c r="F111" s="28"/>
    </row>
    <row r="112" spans="1:6" ht="15">
      <c r="A112" s="27" t="s">
        <v>127</v>
      </c>
      <c r="B112" s="28"/>
      <c r="C112" s="28"/>
      <c r="D112" s="28"/>
      <c r="E112" s="28"/>
      <c r="F112" s="28"/>
    </row>
    <row r="113" spans="1:6">
      <c r="A113" s="28" t="s">
        <v>128</v>
      </c>
      <c r="B113" s="29">
        <v>9.7999999999999992E-10</v>
      </c>
      <c r="C113" s="28" t="s">
        <v>14</v>
      </c>
      <c r="D113" s="28"/>
      <c r="E113" s="28"/>
      <c r="F113" s="28"/>
    </row>
    <row r="114" spans="1:6">
      <c r="A114" s="28" t="s">
        <v>129</v>
      </c>
      <c r="B114" s="29">
        <v>1.4700000000000001E-7</v>
      </c>
      <c r="C114" s="28" t="s">
        <v>14</v>
      </c>
      <c r="D114" s="28"/>
      <c r="E114" s="28"/>
      <c r="F114" s="28"/>
    </row>
    <row r="115" spans="1:6">
      <c r="A115" s="28" t="s">
        <v>130</v>
      </c>
      <c r="B115" s="29">
        <v>3.9200000000000002E-7</v>
      </c>
      <c r="C115" s="28" t="s">
        <v>14</v>
      </c>
      <c r="D115" s="28"/>
      <c r="E115" s="28"/>
      <c r="F115" s="28"/>
    </row>
    <row r="116" spans="1:6">
      <c r="A116" s="28" t="s">
        <v>131</v>
      </c>
      <c r="B116" s="29">
        <v>9.7999999999999994E-12</v>
      </c>
      <c r="C116" s="28" t="s">
        <v>14</v>
      </c>
      <c r="D116" s="28"/>
      <c r="E116" s="28"/>
      <c r="F116" s="28"/>
    </row>
    <row r="117" spans="1:6">
      <c r="A117" s="28" t="s">
        <v>132</v>
      </c>
      <c r="B117" s="29">
        <v>6.8599999999999998E-7</v>
      </c>
      <c r="C117" s="28" t="s">
        <v>14</v>
      </c>
      <c r="D117" s="28"/>
      <c r="E117" s="28"/>
      <c r="F117" s="28"/>
    </row>
    <row r="118" spans="1:6">
      <c r="A118" s="28" t="s">
        <v>92</v>
      </c>
      <c r="B118" s="28">
        <v>5.4879999999999998E-2</v>
      </c>
      <c r="C118" s="28" t="s">
        <v>14</v>
      </c>
      <c r="D118" s="28"/>
      <c r="E118" s="28"/>
      <c r="F118" s="28"/>
    </row>
    <row r="119" spans="1:6">
      <c r="A119" s="28" t="s">
        <v>133</v>
      </c>
      <c r="B119" s="29">
        <v>5.7819999999999999E-6</v>
      </c>
      <c r="C119" s="28" t="s">
        <v>14</v>
      </c>
      <c r="D119" s="28"/>
      <c r="E119" s="28"/>
      <c r="F119" s="28"/>
    </row>
    <row r="120" spans="1:6">
      <c r="A120" s="28" t="s">
        <v>93</v>
      </c>
      <c r="B120" s="29">
        <v>4.8999999999999997E-7</v>
      </c>
      <c r="C120" s="28" t="s">
        <v>14</v>
      </c>
      <c r="D120" s="28"/>
      <c r="E120" s="28"/>
      <c r="F120" s="28"/>
    </row>
    <row r="121" spans="1:6">
      <c r="A121" s="28" t="s">
        <v>134</v>
      </c>
      <c r="B121" s="29">
        <v>2.9400000000000001E-17</v>
      </c>
      <c r="C121" s="28" t="s">
        <v>14</v>
      </c>
      <c r="D121" s="28"/>
      <c r="E121" s="28"/>
      <c r="F121" s="28"/>
    </row>
    <row r="122" spans="1:6">
      <c r="A122" s="28" t="s">
        <v>135</v>
      </c>
      <c r="B122" s="29">
        <v>9.8000000000000004E-8</v>
      </c>
      <c r="C122" s="28" t="s">
        <v>14</v>
      </c>
      <c r="D122" s="28"/>
      <c r="E122" s="28"/>
      <c r="F122" s="28"/>
    </row>
    <row r="123" spans="1:6">
      <c r="A123" s="28" t="s">
        <v>136</v>
      </c>
      <c r="B123" s="29">
        <v>2.9400000000000003E-11</v>
      </c>
      <c r="C123" s="28" t="s">
        <v>14</v>
      </c>
      <c r="D123" s="28"/>
      <c r="E123" s="28"/>
      <c r="F123" s="28"/>
    </row>
    <row r="124" spans="1:6">
      <c r="A124" s="28" t="s">
        <v>95</v>
      </c>
      <c r="B124" s="29">
        <v>1.9599999999999999E-6</v>
      </c>
      <c r="C124" s="28" t="s">
        <v>14</v>
      </c>
      <c r="D124" s="28"/>
      <c r="E124" s="28"/>
      <c r="F124" s="28"/>
    </row>
    <row r="125" spans="1:6">
      <c r="A125" s="28" t="s">
        <v>137</v>
      </c>
      <c r="B125" s="29">
        <v>1.2739999999999999E-7</v>
      </c>
      <c r="C125" s="28" t="s">
        <v>14</v>
      </c>
      <c r="D125" s="28"/>
      <c r="E125" s="28"/>
      <c r="F125" s="28"/>
    </row>
    <row r="126" spans="1:6">
      <c r="A126" s="28" t="s">
        <v>138</v>
      </c>
      <c r="B126" s="29">
        <v>2.9400000000000002E-9</v>
      </c>
      <c r="C126" s="28" t="s">
        <v>14</v>
      </c>
      <c r="D126" s="28"/>
      <c r="E126" s="28"/>
      <c r="F126" s="28"/>
    </row>
    <row r="127" spans="1:6">
      <c r="A127" s="28" t="s">
        <v>139</v>
      </c>
      <c r="B127" s="29">
        <v>9.7019999999999996E-6</v>
      </c>
      <c r="C127" s="28" t="s">
        <v>14</v>
      </c>
      <c r="D127" s="28"/>
      <c r="E127" s="28"/>
      <c r="F127" s="28"/>
    </row>
    <row r="128" spans="1:6">
      <c r="A128" s="28" t="s">
        <v>140</v>
      </c>
      <c r="B128" s="29">
        <v>9.8000000000000001E-9</v>
      </c>
      <c r="C128" s="28" t="s">
        <v>14</v>
      </c>
      <c r="D128" s="28"/>
      <c r="E128" s="28"/>
      <c r="F128" s="28"/>
    </row>
    <row r="129" spans="1:6">
      <c r="A129" s="28" t="s">
        <v>141</v>
      </c>
      <c r="B129" s="29">
        <v>9.8000000000000004E-8</v>
      </c>
      <c r="C129" s="28" t="s">
        <v>14</v>
      </c>
      <c r="D129" s="28"/>
      <c r="E129" s="28"/>
      <c r="F129" s="28"/>
    </row>
    <row r="130" spans="1:6">
      <c r="A130" s="28" t="s">
        <v>142</v>
      </c>
      <c r="B130" s="29">
        <v>1.176E-6</v>
      </c>
      <c r="C130" s="28" t="s">
        <v>14</v>
      </c>
      <c r="D130" s="28"/>
      <c r="E130" s="28"/>
      <c r="F130" s="28"/>
    </row>
    <row r="131" spans="1:6">
      <c r="A131" s="28" t="s">
        <v>143</v>
      </c>
      <c r="B131" s="29">
        <v>1.9600000000000001E-7</v>
      </c>
      <c r="C131" s="28" t="s">
        <v>14</v>
      </c>
      <c r="D131" s="28"/>
      <c r="E131" s="28"/>
      <c r="F131" s="28"/>
    </row>
    <row r="132" spans="1:6">
      <c r="A132" s="28" t="s">
        <v>144</v>
      </c>
      <c r="B132" s="29">
        <v>1.96E-8</v>
      </c>
      <c r="C132" s="28" t="s">
        <v>14</v>
      </c>
      <c r="D132" s="28"/>
      <c r="E132" s="28"/>
      <c r="F132" s="28"/>
    </row>
    <row r="133" spans="1:6">
      <c r="A133" s="28" t="s">
        <v>145</v>
      </c>
      <c r="B133" s="29">
        <v>4.9000000000000002E-8</v>
      </c>
      <c r="C133" s="28" t="s">
        <v>14</v>
      </c>
      <c r="D133" s="28"/>
      <c r="E133" s="28"/>
      <c r="F133" s="28"/>
    </row>
    <row r="134" spans="1:6">
      <c r="A134" s="28" t="s">
        <v>146</v>
      </c>
      <c r="B134" s="29">
        <v>4.9000000000000002E-8</v>
      </c>
      <c r="C134" s="28" t="s">
        <v>14</v>
      </c>
      <c r="D134" s="28"/>
      <c r="E134" s="28"/>
      <c r="F134" s="28"/>
    </row>
    <row r="135" spans="1:6">
      <c r="A135" s="28" t="s">
        <v>120</v>
      </c>
      <c r="B135" s="29">
        <v>4.8999999999999997E-7</v>
      </c>
      <c r="C135" s="28" t="s">
        <v>14</v>
      </c>
      <c r="D135" s="28"/>
      <c r="E135" s="28"/>
      <c r="F135" s="28"/>
    </row>
    <row r="136" spans="1:6">
      <c r="A136" s="28" t="s">
        <v>147</v>
      </c>
      <c r="B136" s="29">
        <v>1.9600000000000001E-7</v>
      </c>
      <c r="C136" s="28" t="s">
        <v>14</v>
      </c>
      <c r="D136" s="28"/>
      <c r="E136" s="28"/>
      <c r="F136" s="28"/>
    </row>
    <row r="138" spans="1:6" ht="15">
      <c r="A138" s="30" t="s">
        <v>148</v>
      </c>
      <c r="B138" s="16"/>
      <c r="C138" s="16"/>
      <c r="D138" s="16"/>
      <c r="E138" s="16"/>
      <c r="F138" s="16"/>
    </row>
    <row r="139" spans="1:6" ht="15">
      <c r="A139" s="15" t="s">
        <v>44</v>
      </c>
      <c r="B139" s="16"/>
      <c r="C139" s="16"/>
      <c r="D139" s="16"/>
      <c r="E139" s="16"/>
      <c r="F139" s="16"/>
    </row>
    <row r="140" spans="1:6">
      <c r="A140" s="16" t="s">
        <v>85</v>
      </c>
      <c r="B140" s="16">
        <v>4.6333333333333296E-3</v>
      </c>
      <c r="C140" s="16" t="s">
        <v>86</v>
      </c>
      <c r="D140" s="16"/>
      <c r="E140" s="16"/>
      <c r="F140" s="16" t="s">
        <v>68</v>
      </c>
    </row>
    <row r="141" spans="1:6">
      <c r="A141" s="16" t="s">
        <v>149</v>
      </c>
      <c r="B141" s="17">
        <v>3.1111111111111102E-9</v>
      </c>
      <c r="C141" s="16" t="s">
        <v>46</v>
      </c>
      <c r="D141" s="16"/>
      <c r="E141" s="16"/>
      <c r="F141" s="16" t="s">
        <v>150</v>
      </c>
    </row>
    <row r="142" spans="1:6">
      <c r="A142" s="16" t="s">
        <v>151</v>
      </c>
      <c r="B142" s="16">
        <v>3.0864197530864199E-2</v>
      </c>
      <c r="C142" s="16" t="s">
        <v>23</v>
      </c>
      <c r="D142" s="16"/>
      <c r="E142" s="16"/>
      <c r="F142" s="16" t="s">
        <v>152</v>
      </c>
    </row>
    <row r="143" spans="1:6">
      <c r="A143" s="16"/>
      <c r="B143" s="16"/>
      <c r="C143" s="16"/>
      <c r="D143" s="16"/>
      <c r="E143" s="16"/>
      <c r="F143" s="16"/>
    </row>
    <row r="144" spans="1:6" ht="15">
      <c r="A144" s="15" t="s">
        <v>76</v>
      </c>
      <c r="B144" s="16"/>
      <c r="C144" s="16"/>
      <c r="D144" s="16"/>
      <c r="E144" s="16"/>
      <c r="F144" s="16"/>
    </row>
    <row r="145" spans="1:6">
      <c r="A145" s="16" t="s">
        <v>87</v>
      </c>
      <c r="B145" s="16">
        <v>1</v>
      </c>
      <c r="C145" s="16" t="s">
        <v>50</v>
      </c>
      <c r="D145" s="16"/>
      <c r="E145" s="16"/>
      <c r="F145" s="16"/>
    </row>
    <row r="146" spans="1:6">
      <c r="A146" s="16" t="s">
        <v>128</v>
      </c>
      <c r="B146" s="17">
        <v>1.11111111111111E-9</v>
      </c>
      <c r="C146" s="16" t="s">
        <v>14</v>
      </c>
      <c r="D146" s="16"/>
      <c r="E146" s="16"/>
      <c r="F146" s="16"/>
    </row>
    <row r="147" spans="1:6">
      <c r="A147" s="16" t="s">
        <v>129</v>
      </c>
      <c r="B147" s="17">
        <v>1.6666666666666699E-7</v>
      </c>
      <c r="C147" s="16" t="s">
        <v>14</v>
      </c>
      <c r="D147" s="16"/>
      <c r="E147" s="16"/>
      <c r="F147" s="16"/>
    </row>
    <row r="148" spans="1:6">
      <c r="A148" s="16" t="s">
        <v>130</v>
      </c>
      <c r="B148" s="17">
        <v>4.4444444444444401E-7</v>
      </c>
      <c r="C148" s="16" t="s">
        <v>14</v>
      </c>
      <c r="D148" s="16"/>
      <c r="E148" s="16"/>
      <c r="F148" s="16"/>
    </row>
    <row r="149" spans="1:6">
      <c r="A149" s="17" t="s">
        <v>131</v>
      </c>
      <c r="B149" s="17">
        <v>1.11111111111111E-11</v>
      </c>
      <c r="C149" s="16" t="s">
        <v>14</v>
      </c>
      <c r="D149" s="16"/>
      <c r="E149" s="16"/>
      <c r="F149" s="16"/>
    </row>
    <row r="150" spans="1:6">
      <c r="A150" s="17" t="s">
        <v>132</v>
      </c>
      <c r="B150" s="17">
        <v>7.77777777777778E-7</v>
      </c>
      <c r="C150" s="16" t="s">
        <v>14</v>
      </c>
      <c r="D150" s="16"/>
      <c r="E150" s="16"/>
      <c r="F150" s="16"/>
    </row>
    <row r="151" spans="1:6">
      <c r="A151" s="17" t="s">
        <v>153</v>
      </c>
      <c r="B151" s="16">
        <v>6.22222222222222E-2</v>
      </c>
      <c r="C151" s="16" t="s">
        <v>14</v>
      </c>
      <c r="D151" s="16"/>
      <c r="E151" s="16"/>
      <c r="F151" s="16"/>
    </row>
    <row r="152" spans="1:6">
      <c r="A152" s="17" t="s">
        <v>154</v>
      </c>
      <c r="B152" s="17">
        <v>1.5555555555555599E-5</v>
      </c>
      <c r="C152" s="16" t="s">
        <v>14</v>
      </c>
      <c r="D152" s="16"/>
      <c r="E152" s="16"/>
      <c r="F152" s="16"/>
    </row>
    <row r="153" spans="1:6">
      <c r="A153" s="17" t="s">
        <v>93</v>
      </c>
      <c r="B153" s="17">
        <v>1.11111111111111E-7</v>
      </c>
      <c r="C153" s="16" t="s">
        <v>14</v>
      </c>
      <c r="D153" s="16"/>
      <c r="E153" s="16"/>
      <c r="F153" s="16"/>
    </row>
    <row r="154" spans="1:6">
      <c r="A154" s="16" t="s">
        <v>134</v>
      </c>
      <c r="B154" s="17">
        <v>3.3333333333333298E-17</v>
      </c>
      <c r="C154" s="16" t="s">
        <v>14</v>
      </c>
      <c r="D154" s="16"/>
      <c r="E154" s="16"/>
      <c r="F154" s="17"/>
    </row>
    <row r="155" spans="1:6">
      <c r="A155" s="16" t="s">
        <v>135</v>
      </c>
      <c r="B155" s="17">
        <v>1.11111111111111E-7</v>
      </c>
      <c r="C155" s="16" t="s">
        <v>14</v>
      </c>
      <c r="D155" s="16"/>
      <c r="E155" s="17"/>
      <c r="F155" s="16"/>
    </row>
    <row r="156" spans="1:6">
      <c r="A156" s="17" t="s">
        <v>136</v>
      </c>
      <c r="B156" s="17">
        <v>3.3333333333333302E-11</v>
      </c>
      <c r="C156" s="16" t="s">
        <v>14</v>
      </c>
      <c r="D156" s="16"/>
      <c r="E156" s="16"/>
      <c r="F156" s="16"/>
    </row>
    <row r="157" spans="1:6">
      <c r="A157" s="16" t="s">
        <v>155</v>
      </c>
      <c r="B157" s="17">
        <v>2.22222222222222E-6</v>
      </c>
      <c r="C157" s="16" t="s">
        <v>14</v>
      </c>
      <c r="D157" s="16"/>
      <c r="E157" s="16"/>
      <c r="F157" s="16"/>
    </row>
    <row r="158" spans="1:6">
      <c r="A158" s="16" t="s">
        <v>139</v>
      </c>
      <c r="B158" s="17">
        <v>2.5555555555555602E-5</v>
      </c>
      <c r="C158" s="16" t="s">
        <v>14</v>
      </c>
      <c r="D158" s="16"/>
      <c r="E158" s="16"/>
      <c r="F158" s="16"/>
    </row>
    <row r="159" spans="1:6">
      <c r="A159" s="16" t="s">
        <v>140</v>
      </c>
      <c r="B159" s="17">
        <v>1.11111111111111E-8</v>
      </c>
      <c r="C159" s="16" t="s">
        <v>14</v>
      </c>
      <c r="D159" s="16"/>
      <c r="E159" s="16"/>
      <c r="F159" s="16"/>
    </row>
    <row r="160" spans="1:6">
      <c r="A160" s="16" t="s">
        <v>141</v>
      </c>
      <c r="B160" s="17">
        <v>1.11111111111111E-7</v>
      </c>
      <c r="C160" s="16" t="s">
        <v>14</v>
      </c>
      <c r="D160" s="16"/>
      <c r="E160" s="16"/>
      <c r="F160" s="16"/>
    </row>
    <row r="161" spans="1:6">
      <c r="A161" s="17" t="s">
        <v>142</v>
      </c>
      <c r="B161" s="17">
        <v>1.33333333333333E-6</v>
      </c>
      <c r="C161" s="16" t="s">
        <v>14</v>
      </c>
      <c r="D161" s="16"/>
      <c r="E161" s="16"/>
      <c r="F161" s="16"/>
    </row>
    <row r="162" spans="1:6">
      <c r="A162" s="17" t="s">
        <v>143</v>
      </c>
      <c r="B162" s="17">
        <v>2.2222222222222201E-7</v>
      </c>
      <c r="C162" s="16" t="s">
        <v>14</v>
      </c>
      <c r="D162" s="16"/>
      <c r="E162" s="16"/>
      <c r="F162" s="16"/>
    </row>
    <row r="163" spans="1:6">
      <c r="A163" s="16" t="s">
        <v>144</v>
      </c>
      <c r="B163" s="17">
        <v>2.2222222222222201E-8</v>
      </c>
      <c r="C163" s="16" t="s">
        <v>14</v>
      </c>
      <c r="D163" s="16"/>
      <c r="E163" s="16"/>
      <c r="F163" s="16"/>
    </row>
    <row r="164" spans="1:6">
      <c r="A164" s="16" t="s">
        <v>120</v>
      </c>
      <c r="B164" s="17">
        <v>6.1111111111111095E-7</v>
      </c>
      <c r="C164" s="16" t="s">
        <v>14</v>
      </c>
      <c r="D164" s="16"/>
      <c r="E164" s="16"/>
      <c r="F164" s="16"/>
    </row>
    <row r="165" spans="1:6">
      <c r="A165" s="17" t="s">
        <v>147</v>
      </c>
      <c r="B165" s="17">
        <v>2.2222222222222201E-7</v>
      </c>
      <c r="C165" s="16" t="s">
        <v>14</v>
      </c>
      <c r="D165" s="16"/>
      <c r="E165" s="16"/>
      <c r="F165" s="16"/>
    </row>
    <row r="187" spans="1:2">
      <c r="A187" s="3"/>
    </row>
    <row r="188" spans="1:2">
      <c r="A188" s="3"/>
      <c r="B188" s="3"/>
    </row>
    <row r="189" spans="1:2">
      <c r="A189" s="3"/>
      <c r="B189" s="3"/>
    </row>
    <row r="193" spans="1:5">
      <c r="A193" s="3"/>
      <c r="E193" s="3"/>
    </row>
    <row r="194" spans="1:5">
      <c r="A194" s="3"/>
    </row>
    <row r="252" spans="1:1">
      <c r="A252" s="3"/>
    </row>
    <row r="253" spans="1:1">
      <c r="A253" s="3"/>
    </row>
    <row r="254" spans="1:1">
      <c r="A254" s="3"/>
    </row>
    <row r="257" spans="1:5">
      <c r="A257" s="3"/>
    </row>
    <row r="258" spans="1:5">
      <c r="B258" s="3"/>
    </row>
    <row r="259" spans="1:5">
      <c r="B259" s="3"/>
      <c r="E259" s="3"/>
    </row>
    <row r="260" spans="1:5">
      <c r="B260" s="3"/>
    </row>
    <row r="264" spans="1:5">
      <c r="B264" s="3"/>
      <c r="E264" s="3"/>
    </row>
    <row r="265" spans="1:5">
      <c r="B265" s="3"/>
    </row>
    <row r="312" spans="1:5">
      <c r="A312" s="3"/>
    </row>
    <row r="313" spans="1:5">
      <c r="A313" s="3"/>
    </row>
    <row r="314" spans="1:5">
      <c r="A314" s="3"/>
    </row>
    <row r="318" spans="1:5">
      <c r="A318" s="3"/>
      <c r="E318" s="3"/>
    </row>
    <row r="319" spans="1:5">
      <c r="A319" s="3"/>
    </row>
    <row r="323" spans="1:6">
      <c r="A323" s="3"/>
    </row>
    <row r="324" spans="1:6">
      <c r="A324" s="3"/>
      <c r="F324" s="3"/>
    </row>
    <row r="325" spans="1:6">
      <c r="A325" s="3"/>
    </row>
    <row r="326" spans="1:6">
      <c r="A326" s="3"/>
    </row>
    <row r="327" spans="1:6">
      <c r="F327" s="3"/>
    </row>
    <row r="328" spans="1:6">
      <c r="E328" s="3"/>
    </row>
    <row r="329" spans="1:6">
      <c r="E329" s="3"/>
    </row>
    <row r="330" spans="1:6">
      <c r="A330" s="3"/>
    </row>
    <row r="339" spans="1:9">
      <c r="A339" s="3"/>
    </row>
    <row r="340" spans="1:9">
      <c r="A340" s="3"/>
    </row>
    <row r="345" spans="1:9">
      <c r="A345" s="3"/>
      <c r="E345" s="3"/>
      <c r="I345" s="3"/>
    </row>
    <row r="346" spans="1:9">
      <c r="A346" s="3"/>
      <c r="E346" s="3"/>
      <c r="F346" s="3"/>
      <c r="I346" s="3"/>
    </row>
    <row r="347" spans="1:9">
      <c r="A347" s="3"/>
      <c r="E347" s="3"/>
      <c r="F347" s="3"/>
      <c r="I347" s="3"/>
    </row>
    <row r="348" spans="1:9">
      <c r="A348" s="3"/>
      <c r="E348" s="3"/>
      <c r="I348" s="3"/>
    </row>
    <row r="349" spans="1:9">
      <c r="A349" s="3"/>
      <c r="E349" s="3"/>
      <c r="F349" s="3"/>
      <c r="I349" s="3"/>
    </row>
    <row r="350" spans="1:9">
      <c r="A350" s="3"/>
      <c r="E350" s="3"/>
      <c r="I350" s="3"/>
    </row>
    <row r="351" spans="1:9">
      <c r="E351" s="3"/>
      <c r="I351" s="3"/>
    </row>
    <row r="352" spans="1:9">
      <c r="A352" s="3"/>
      <c r="E352" s="3"/>
      <c r="F352" s="3"/>
      <c r="I352" s="3"/>
    </row>
    <row r="356" spans="1:5">
      <c r="A356" s="3"/>
    </row>
    <row r="362" spans="1:5">
      <c r="A362" s="3"/>
      <c r="E362" s="3"/>
    </row>
  </sheetData>
  <phoneticPr fontId="4" type="noConversion"/>
  <hyperlinks>
    <hyperlink ref="D78" r:id="rId1" display="https://biogasworld.com/fr/product/gestion-du-digestat/deshydratation-du-digestat/pressoir-rotatif-fournier/" xr:uid="{B9368B37-764E-47C4-B0B1-1F2ADE232184}"/>
    <hyperlink ref="D79" r:id="rId2" xr:uid="{FE883A51-FD83-425F-8A81-60BF2E6642B8}"/>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27B5B-E5E7-4AE6-A260-4E14486F5089}">
  <dimension ref="A1:I362"/>
  <sheetViews>
    <sheetView topLeftCell="A11" zoomScale="48" zoomScaleNormal="70" workbookViewId="0">
      <selection activeCell="B13" sqref="B13"/>
    </sheetView>
  </sheetViews>
  <sheetFormatPr baseColWidth="10" defaultColWidth="9" defaultRowHeight="14.25"/>
  <cols>
    <col min="1" max="1" width="58.25" customWidth="1"/>
    <col min="2" max="2" width="40" customWidth="1"/>
    <col min="3" max="3" width="10" bestFit="1" customWidth="1"/>
    <col min="4" max="4" width="31.75" customWidth="1"/>
    <col min="5" max="5" width="26" customWidth="1"/>
    <col min="6" max="6" width="121.75" bestFit="1" customWidth="1"/>
    <col min="8" max="8" width="24.25" customWidth="1"/>
    <col min="11" max="11" width="147.25" bestFit="1" customWidth="1"/>
  </cols>
  <sheetData>
    <row r="1" spans="1:6" ht="15">
      <c r="A1" s="6" t="s">
        <v>6</v>
      </c>
      <c r="B1" s="6" t="s">
        <v>7</v>
      </c>
      <c r="C1" s="6" t="s">
        <v>8</v>
      </c>
      <c r="D1" s="6" t="s">
        <v>9</v>
      </c>
      <c r="E1" s="6" t="s">
        <v>10</v>
      </c>
      <c r="F1" s="6" t="s">
        <v>11</v>
      </c>
    </row>
    <row r="2" spans="1:6" ht="15">
      <c r="A2" s="7" t="s">
        <v>12</v>
      </c>
      <c r="B2" s="8"/>
      <c r="C2" s="8"/>
      <c r="D2" s="8"/>
      <c r="E2" s="8"/>
      <c r="F2" s="8"/>
    </row>
    <row r="3" spans="1:6">
      <c r="A3" s="9" t="s">
        <v>13</v>
      </c>
      <c r="B3" s="9">
        <v>37.18</v>
      </c>
      <c r="C3" s="9" t="s">
        <v>14</v>
      </c>
      <c r="D3" s="9" t="s">
        <v>15</v>
      </c>
      <c r="E3" s="9"/>
      <c r="F3" s="9"/>
    </row>
    <row r="4" spans="1:6">
      <c r="A4" s="9" t="s">
        <v>16</v>
      </c>
      <c r="B4" s="9">
        <v>0.71699999999999997</v>
      </c>
      <c r="C4" s="9" t="s">
        <v>17</v>
      </c>
      <c r="D4" s="9"/>
      <c r="E4" s="9"/>
      <c r="F4" s="9"/>
    </row>
    <row r="5" spans="1:6">
      <c r="A5" s="9" t="s">
        <v>18</v>
      </c>
      <c r="B5" s="9">
        <v>1.9770000000000001</v>
      </c>
      <c r="C5" s="9" t="s">
        <v>17</v>
      </c>
      <c r="D5" s="9"/>
      <c r="E5" s="9"/>
      <c r="F5" s="9"/>
    </row>
    <row r="6" spans="1:6">
      <c r="A6" s="9" t="s">
        <v>19</v>
      </c>
      <c r="B6" s="9">
        <f>B4*0.6+B5*0.4</f>
        <v>1.2210000000000001</v>
      </c>
      <c r="C6" s="9" t="s">
        <v>17</v>
      </c>
      <c r="D6" s="9"/>
      <c r="E6" s="9"/>
      <c r="F6" s="9"/>
    </row>
    <row r="7" spans="1:6">
      <c r="A7" s="9" t="s">
        <v>20</v>
      </c>
      <c r="B7" s="9">
        <f>1/(B10/B6)</f>
        <v>6.1979695431472077</v>
      </c>
      <c r="C7" s="9" t="s">
        <v>14</v>
      </c>
      <c r="D7" s="9" t="s">
        <v>21</v>
      </c>
      <c r="E7" s="9"/>
      <c r="F7" s="9"/>
    </row>
    <row r="8" spans="1:6">
      <c r="A8" s="9" t="s">
        <v>22</v>
      </c>
      <c r="B8" s="9">
        <v>1.53579</v>
      </c>
      <c r="C8" s="9" t="s">
        <v>23</v>
      </c>
      <c r="D8" s="9" t="s">
        <v>15</v>
      </c>
      <c r="E8" s="9"/>
      <c r="F8" s="9"/>
    </row>
    <row r="9" spans="1:6">
      <c r="A9" s="9" t="s">
        <v>24</v>
      </c>
      <c r="B9" s="9">
        <v>2.513E-2</v>
      </c>
      <c r="C9" s="9" t="s">
        <v>23</v>
      </c>
      <c r="D9" s="9" t="s">
        <v>15</v>
      </c>
      <c r="E9" s="9"/>
      <c r="F9" s="9"/>
    </row>
    <row r="10" spans="1:6">
      <c r="A10" s="9" t="s">
        <v>25</v>
      </c>
      <c r="B10" s="9">
        <v>0.19700000000000001</v>
      </c>
      <c r="C10" s="9" t="s">
        <v>14</v>
      </c>
      <c r="D10" s="9" t="s">
        <v>21</v>
      </c>
      <c r="E10" s="9"/>
      <c r="F10" s="9"/>
    </row>
    <row r="11" spans="1:6">
      <c r="A11" s="9" t="s">
        <v>26</v>
      </c>
      <c r="B11" s="9">
        <v>0.34</v>
      </c>
      <c r="C11" s="9" t="s">
        <v>14</v>
      </c>
      <c r="D11" s="9" t="s">
        <v>27</v>
      </c>
      <c r="E11" s="9"/>
      <c r="F11" s="9"/>
    </row>
    <row r="12" spans="1:6">
      <c r="A12" s="9" t="s">
        <v>156</v>
      </c>
      <c r="B12" s="9">
        <f>B10*0.8</f>
        <v>0.15760000000000002</v>
      </c>
      <c r="C12" s="9" t="s">
        <v>14</v>
      </c>
      <c r="D12" s="9"/>
      <c r="E12" s="9"/>
      <c r="F12" s="9"/>
    </row>
    <row r="13" spans="1:6">
      <c r="A13" s="9" t="s">
        <v>157</v>
      </c>
      <c r="B13" s="9">
        <f>B11*0.8</f>
        <v>0.27200000000000002</v>
      </c>
      <c r="C13" s="9" t="s">
        <v>14</v>
      </c>
      <c r="D13" s="9"/>
      <c r="E13" s="9"/>
      <c r="F13" s="9"/>
    </row>
    <row r="14" spans="1:6">
      <c r="A14" s="9" t="s">
        <v>30</v>
      </c>
      <c r="B14" s="9">
        <f>B12/(SUM(B10:B11))</f>
        <v>0.29348230912476725</v>
      </c>
      <c r="C14" s="9" t="s">
        <v>14</v>
      </c>
      <c r="D14" s="9"/>
      <c r="E14" s="9"/>
      <c r="F14" s="9"/>
    </row>
    <row r="15" spans="1:6">
      <c r="A15" s="9"/>
      <c r="B15" s="9">
        <f>B14/B6</f>
        <v>0.24036225153543589</v>
      </c>
      <c r="C15" s="9" t="s">
        <v>31</v>
      </c>
      <c r="D15" s="9"/>
      <c r="E15" s="9"/>
      <c r="F15" s="9"/>
    </row>
    <row r="16" spans="1:6">
      <c r="A16" s="9" t="s">
        <v>32</v>
      </c>
      <c r="B16" s="9">
        <f>B13/SUM(B10:B11)</f>
        <v>0.5065176908752328</v>
      </c>
      <c r="C16" s="9" t="s">
        <v>14</v>
      </c>
      <c r="D16" s="9"/>
      <c r="E16" s="9"/>
      <c r="F16" s="9"/>
    </row>
    <row r="17" spans="1:6">
      <c r="A17" s="9"/>
      <c r="B17" s="9">
        <f>B16/1000</f>
        <v>5.0651769087523284E-4</v>
      </c>
      <c r="C17" s="9" t="s">
        <v>31</v>
      </c>
      <c r="D17" s="9"/>
      <c r="E17" s="9"/>
      <c r="F17" s="9"/>
    </row>
    <row r="18" spans="1:6">
      <c r="A18" s="9" t="s">
        <v>33</v>
      </c>
      <c r="B18" s="9">
        <v>0.85</v>
      </c>
      <c r="C18" s="9"/>
      <c r="D18" s="9"/>
      <c r="E18" s="9" t="s">
        <v>34</v>
      </c>
      <c r="F18" s="9"/>
    </row>
    <row r="19" spans="1:6">
      <c r="A19" s="9" t="s">
        <v>35</v>
      </c>
      <c r="B19" s="9">
        <v>0.7</v>
      </c>
      <c r="C19" s="9"/>
      <c r="D19" s="9"/>
      <c r="E19" s="9"/>
      <c r="F19" s="9"/>
    </row>
    <row r="20" spans="1:6">
      <c r="A20" s="9" t="s">
        <v>36</v>
      </c>
      <c r="B20" s="48">
        <v>0.03</v>
      </c>
      <c r="C20" s="9"/>
      <c r="D20" s="9"/>
      <c r="E20" s="9"/>
      <c r="F20" s="9"/>
    </row>
    <row r="21" spans="1:6">
      <c r="A21" s="9" t="s">
        <v>37</v>
      </c>
      <c r="B21" s="48">
        <v>5.5E-2</v>
      </c>
      <c r="C21" s="9"/>
      <c r="D21" s="9"/>
      <c r="E21" s="9"/>
      <c r="F21" s="9"/>
    </row>
    <row r="22" spans="1:6">
      <c r="A22" s="9" t="s">
        <v>38</v>
      </c>
      <c r="B22" s="48">
        <v>0.04</v>
      </c>
      <c r="C22" s="9"/>
      <c r="D22" s="9"/>
      <c r="E22" s="9"/>
      <c r="F22" s="9"/>
    </row>
    <row r="23" spans="1:6">
      <c r="A23" s="9" t="s">
        <v>39</v>
      </c>
      <c r="B23" s="48">
        <v>142</v>
      </c>
      <c r="C23" s="9" t="s">
        <v>40</v>
      </c>
      <c r="D23" s="9"/>
      <c r="E23" s="9"/>
      <c r="F23" s="9"/>
    </row>
    <row r="24" spans="1:6">
      <c r="A24" s="9" t="s">
        <v>41</v>
      </c>
      <c r="B24" s="48">
        <f>39*2+16</f>
        <v>94</v>
      </c>
      <c r="C24" s="9" t="s">
        <v>40</v>
      </c>
      <c r="D24" s="9"/>
      <c r="E24" s="9"/>
      <c r="F24" s="9"/>
    </row>
    <row r="25" spans="1:6">
      <c r="A25" s="9" t="s">
        <v>42</v>
      </c>
      <c r="B25" s="48">
        <v>2.6</v>
      </c>
      <c r="C25" s="9"/>
      <c r="D25" s="9"/>
      <c r="E25" s="9"/>
      <c r="F25" s="9"/>
    </row>
    <row r="27" spans="1:6" ht="15">
      <c r="A27" s="10" t="s">
        <v>43</v>
      </c>
      <c r="B27" s="11"/>
      <c r="C27" s="11"/>
      <c r="D27" s="11"/>
      <c r="E27" s="11"/>
      <c r="F27" s="11"/>
    </row>
    <row r="28" spans="1:6" ht="15">
      <c r="A28" s="12" t="s">
        <v>44</v>
      </c>
      <c r="B28" s="13"/>
      <c r="C28" s="11"/>
      <c r="D28" s="11"/>
      <c r="E28" s="13"/>
      <c r="F28" s="11"/>
    </row>
    <row r="29" spans="1:6">
      <c r="A29" s="11" t="s">
        <v>45</v>
      </c>
      <c r="B29" s="11">
        <v>1</v>
      </c>
      <c r="C29" s="11" t="s">
        <v>46</v>
      </c>
      <c r="D29" s="11"/>
      <c r="E29" s="11" t="s">
        <v>158</v>
      </c>
      <c r="F29" s="11"/>
    </row>
    <row r="30" spans="1:6">
      <c r="A30" s="11" t="s">
        <v>47</v>
      </c>
      <c r="B30" s="11">
        <f>B15/B8</f>
        <v>0.15650723831737146</v>
      </c>
      <c r="C30" s="11" t="s">
        <v>46</v>
      </c>
      <c r="D30" s="11"/>
      <c r="E30" s="11"/>
      <c r="F30" s="11"/>
    </row>
    <row r="31" spans="1:6">
      <c r="A31" s="11" t="s">
        <v>48</v>
      </c>
      <c r="B31" s="11">
        <v>1</v>
      </c>
      <c r="C31" s="11" t="s">
        <v>46</v>
      </c>
      <c r="D31" s="11"/>
      <c r="E31" s="11"/>
      <c r="F31" s="11"/>
    </row>
    <row r="32" spans="1:6">
      <c r="A32" s="11" t="s">
        <v>49</v>
      </c>
      <c r="B32" s="11">
        <f>B30/B9</f>
        <v>6.2279044296606232</v>
      </c>
      <c r="C32" s="11" t="s">
        <v>50</v>
      </c>
      <c r="D32" s="11"/>
      <c r="E32" s="11"/>
      <c r="F32" s="11"/>
    </row>
    <row r="33" spans="1:6">
      <c r="A33" s="11" t="s">
        <v>51</v>
      </c>
      <c r="B33" s="11">
        <f>-B32</f>
        <v>-6.2279044296606232</v>
      </c>
      <c r="C33" s="11" t="s">
        <v>50</v>
      </c>
      <c r="D33" s="11"/>
      <c r="E33" s="11"/>
      <c r="F33" s="11" t="s">
        <v>52</v>
      </c>
    </row>
    <row r="34" spans="1:6">
      <c r="A34" s="11" t="s">
        <v>53</v>
      </c>
      <c r="B34" s="11">
        <v>1</v>
      </c>
      <c r="C34" s="11" t="s">
        <v>46</v>
      </c>
      <c r="D34" s="11"/>
      <c r="E34" s="11"/>
      <c r="F34" s="11"/>
    </row>
    <row r="35" spans="1:6">
      <c r="A35" s="11" t="s">
        <v>54</v>
      </c>
      <c r="B35" s="11">
        <v>1</v>
      </c>
      <c r="C35" s="11" t="s">
        <v>46</v>
      </c>
      <c r="D35" s="11"/>
      <c r="E35" s="11"/>
      <c r="F35" s="11"/>
    </row>
    <row r="36" spans="1:6">
      <c r="A36" s="11" t="s">
        <v>55</v>
      </c>
      <c r="B36" s="52">
        <f>-B84*(1-B19)*B20</f>
        <v>-2.2793296089385481E-3</v>
      </c>
      <c r="C36" s="11" t="s">
        <v>14</v>
      </c>
      <c r="D36" s="11"/>
      <c r="E36" s="11"/>
      <c r="F36" s="11" t="s">
        <v>56</v>
      </c>
    </row>
    <row r="37" spans="1:6">
      <c r="A37" s="11" t="s">
        <v>57</v>
      </c>
      <c r="B37" s="53">
        <f>-$B$84*(1-$B$19)*(B25/100)*B21*(B23/62)</f>
        <v>-2.4883907010272131E-4</v>
      </c>
      <c r="C37" s="11" t="s">
        <v>14</v>
      </c>
      <c r="D37" s="11"/>
      <c r="E37" s="11"/>
      <c r="F37" s="11" t="s">
        <v>58</v>
      </c>
    </row>
    <row r="38" spans="1:6">
      <c r="A38" s="11" t="s">
        <v>59</v>
      </c>
      <c r="B38" s="53">
        <f>-$B$84*(1-$B$19)*(B25/100)*B22*(B24/78)</f>
        <v>-9.5225325884543794E-5</v>
      </c>
      <c r="C38" s="11" t="s">
        <v>14</v>
      </c>
      <c r="D38" s="11"/>
      <c r="E38" s="11"/>
      <c r="F38" s="11" t="s">
        <v>60</v>
      </c>
    </row>
    <row r="39" spans="1:6">
      <c r="A39" s="11"/>
      <c r="B39" s="11"/>
      <c r="C39" s="11"/>
      <c r="D39" s="11"/>
      <c r="E39" s="11"/>
      <c r="F39" s="11"/>
    </row>
    <row r="40" spans="1:6" ht="15">
      <c r="A40" s="12" t="s">
        <v>61</v>
      </c>
      <c r="B40" s="11"/>
      <c r="C40" s="11"/>
      <c r="D40" s="11"/>
      <c r="E40" s="11"/>
      <c r="F40" s="11"/>
    </row>
    <row r="41" spans="1:6">
      <c r="A41" s="11" t="s">
        <v>62</v>
      </c>
      <c r="B41" s="11">
        <v>1</v>
      </c>
      <c r="C41" s="11" t="s">
        <v>14</v>
      </c>
      <c r="D41" s="11"/>
      <c r="E41" s="11"/>
      <c r="F41" s="11"/>
    </row>
    <row r="43" spans="1:6" ht="15">
      <c r="A43" s="30" t="s">
        <v>63</v>
      </c>
      <c r="B43" s="16"/>
      <c r="C43" s="16"/>
      <c r="D43" s="16"/>
      <c r="E43" s="16"/>
      <c r="F43" s="16"/>
    </row>
    <row r="44" spans="1:6" ht="15">
      <c r="A44" s="15" t="s">
        <v>44</v>
      </c>
      <c r="B44" s="16"/>
      <c r="C44" s="16"/>
      <c r="D44" s="16"/>
      <c r="E44" s="16"/>
      <c r="F44" s="16"/>
    </row>
    <row r="45" spans="1:6">
      <c r="A45" s="16" t="s">
        <v>64</v>
      </c>
      <c r="B45" s="16">
        <f>20/1500</f>
        <v>1.3333333333333334E-2</v>
      </c>
      <c r="C45" s="16" t="s">
        <v>65</v>
      </c>
      <c r="D45" s="16" t="s">
        <v>66</v>
      </c>
      <c r="E45" s="16" t="s">
        <v>67</v>
      </c>
      <c r="F45" s="16" t="s">
        <v>68</v>
      </c>
    </row>
    <row r="46" spans="1:6">
      <c r="A46" s="16" t="s">
        <v>69</v>
      </c>
      <c r="B46" s="17">
        <f>2000/(20*3000*1500)</f>
        <v>2.2222222222222223E-5</v>
      </c>
      <c r="C46" s="16" t="s">
        <v>70</v>
      </c>
      <c r="D46" s="16" t="s">
        <v>66</v>
      </c>
      <c r="E46" s="16" t="s">
        <v>71</v>
      </c>
      <c r="F46" s="16" t="s">
        <v>72</v>
      </c>
    </row>
    <row r="47" spans="1:6">
      <c r="A47" s="16"/>
      <c r="B47" s="16"/>
      <c r="C47" s="16"/>
      <c r="D47" s="16"/>
      <c r="E47" s="16"/>
      <c r="F47" s="16"/>
    </row>
    <row r="48" spans="1:6" ht="15">
      <c r="A48" s="15" t="s">
        <v>61</v>
      </c>
      <c r="B48" s="16"/>
      <c r="C48" s="16"/>
      <c r="D48" s="16"/>
      <c r="E48" s="16"/>
      <c r="F48" s="16"/>
    </row>
    <row r="49" spans="1:6">
      <c r="A49" s="16" t="s">
        <v>48</v>
      </c>
      <c r="B49" s="16">
        <v>1</v>
      </c>
      <c r="C49" s="16" t="s">
        <v>73</v>
      </c>
      <c r="D49" s="16"/>
      <c r="E49" s="16"/>
      <c r="F49" s="16"/>
    </row>
    <row r="51" spans="1:6" ht="15">
      <c r="A51" s="31" t="s">
        <v>74</v>
      </c>
      <c r="B51" s="19"/>
      <c r="C51" s="19"/>
      <c r="D51" s="19"/>
      <c r="E51" s="19"/>
      <c r="F51" s="19"/>
    </row>
    <row r="52" spans="1:6" ht="15">
      <c r="A52" s="18" t="s">
        <v>44</v>
      </c>
      <c r="B52" s="19"/>
      <c r="C52" s="19"/>
      <c r="D52" s="19"/>
      <c r="E52" s="19"/>
      <c r="F52" s="19"/>
    </row>
    <row r="53" spans="1:6">
      <c r="A53" s="19" t="s">
        <v>64</v>
      </c>
      <c r="B53" s="19">
        <f>20/1500</f>
        <v>1.3333333333333334E-2</v>
      </c>
      <c r="C53" s="19" t="s">
        <v>65</v>
      </c>
      <c r="D53" s="19"/>
      <c r="E53" s="19" t="s">
        <v>75</v>
      </c>
      <c r="F53" s="19" t="s">
        <v>68</v>
      </c>
    </row>
    <row r="54" spans="1:6">
      <c r="A54" s="19" t="s">
        <v>69</v>
      </c>
      <c r="B54" s="19">
        <f>2000/(20*3000*1500)</f>
        <v>2.2222222222222223E-5</v>
      </c>
      <c r="C54" s="19" t="s">
        <v>70</v>
      </c>
      <c r="D54" s="19"/>
      <c r="E54" s="19"/>
      <c r="F54" s="19" t="s">
        <v>72</v>
      </c>
    </row>
    <row r="55" spans="1:6">
      <c r="A55" s="19"/>
      <c r="B55" s="19"/>
      <c r="C55" s="19"/>
      <c r="D55" s="19"/>
      <c r="E55" s="19"/>
      <c r="F55" s="19"/>
    </row>
    <row r="56" spans="1:6" ht="15">
      <c r="A56" s="18" t="s">
        <v>76</v>
      </c>
      <c r="B56" s="19"/>
      <c r="C56" s="19"/>
      <c r="D56" s="19"/>
      <c r="E56" s="19"/>
      <c r="F56" s="19"/>
    </row>
    <row r="57" spans="1:6">
      <c r="A57" s="19" t="s">
        <v>53</v>
      </c>
      <c r="B57" s="19">
        <v>1</v>
      </c>
      <c r="C57" s="19" t="s">
        <v>73</v>
      </c>
      <c r="D57" s="19"/>
      <c r="E57" s="19"/>
      <c r="F57" s="19"/>
    </row>
    <row r="58" spans="1:6">
      <c r="A58" s="19" t="s">
        <v>77</v>
      </c>
      <c r="B58" s="19">
        <v>0.2</v>
      </c>
      <c r="C58" s="19" t="s">
        <v>14</v>
      </c>
      <c r="D58" s="19"/>
      <c r="E58" s="19"/>
      <c r="F58" s="19" t="s">
        <v>78</v>
      </c>
    </row>
    <row r="60" spans="1:6" ht="15">
      <c r="A60" s="32" t="s">
        <v>79</v>
      </c>
      <c r="B60" s="22" t="s">
        <v>80</v>
      </c>
      <c r="C60" s="22">
        <f>B7/B3*0.8</f>
        <v>0.13336136725437781</v>
      </c>
      <c r="D60" s="21" t="s">
        <v>81</v>
      </c>
      <c r="E60" s="22" t="s">
        <v>82</v>
      </c>
      <c r="F60" s="22"/>
    </row>
    <row r="61" spans="1:6" ht="15">
      <c r="A61" s="21" t="s">
        <v>44</v>
      </c>
      <c r="B61" s="22"/>
      <c r="C61" s="22"/>
      <c r="D61" s="22"/>
      <c r="E61" s="22"/>
      <c r="F61" s="22"/>
    </row>
    <row r="62" spans="1:6">
      <c r="A62" s="22" t="s">
        <v>83</v>
      </c>
      <c r="B62" s="22">
        <f>2.86000299914824E-07*C60</f>
        <v>3.8141391031803036E-8</v>
      </c>
      <c r="C62" s="22" t="s">
        <v>46</v>
      </c>
      <c r="D62" s="22"/>
      <c r="E62" s="22"/>
      <c r="F62" s="22" t="s">
        <v>84</v>
      </c>
    </row>
    <row r="63" spans="1:6">
      <c r="A63" s="22" t="s">
        <v>85</v>
      </c>
      <c r="B63" s="22">
        <f>0.158*C60</f>
        <v>2.1071096026191692E-2</v>
      </c>
      <c r="C63" s="22" t="s">
        <v>86</v>
      </c>
      <c r="D63" s="22"/>
      <c r="E63" s="22"/>
      <c r="F63" s="22" t="s">
        <v>68</v>
      </c>
    </row>
    <row r="64" spans="1:6">
      <c r="A64" s="22" t="s">
        <v>87</v>
      </c>
      <c r="B64" s="22">
        <f>3.47*C60</f>
        <v>0.46276394437269103</v>
      </c>
      <c r="C64" s="22" t="s">
        <v>50</v>
      </c>
      <c r="D64" s="22"/>
      <c r="E64" s="22"/>
      <c r="F64" s="22" t="s">
        <v>88</v>
      </c>
    </row>
    <row r="65" spans="1:6" ht="15">
      <c r="A65" s="21"/>
      <c r="B65" s="22"/>
      <c r="C65" s="22"/>
      <c r="D65" s="22"/>
      <c r="E65" s="22"/>
      <c r="F65" s="22"/>
    </row>
    <row r="66" spans="1:6" ht="15">
      <c r="A66" s="21" t="s">
        <v>76</v>
      </c>
      <c r="B66" s="22"/>
      <c r="C66" s="22"/>
      <c r="D66" s="22"/>
      <c r="E66" s="22"/>
      <c r="F66" s="22"/>
    </row>
    <row r="67" spans="1:6">
      <c r="A67" s="22" t="s">
        <v>45</v>
      </c>
      <c r="B67" s="22">
        <v>1</v>
      </c>
      <c r="C67" s="22" t="s">
        <v>46</v>
      </c>
      <c r="D67" s="22"/>
      <c r="E67" s="22"/>
      <c r="F67" s="22"/>
    </row>
    <row r="68" spans="1:6">
      <c r="A68" s="22" t="s">
        <v>89</v>
      </c>
      <c r="B68" s="22">
        <f>B15</f>
        <v>0.24036225153543589</v>
      </c>
      <c r="C68" s="22" t="s">
        <v>23</v>
      </c>
      <c r="D68" s="22"/>
      <c r="E68" s="22"/>
      <c r="F68" s="22"/>
    </row>
    <row r="69" spans="1:6">
      <c r="A69" s="22" t="s">
        <v>90</v>
      </c>
      <c r="B69" s="23">
        <f>B16</f>
        <v>0.5065176908752328</v>
      </c>
      <c r="C69" s="22" t="s">
        <v>14</v>
      </c>
      <c r="D69" s="23"/>
      <c r="E69" s="22"/>
      <c r="F69" s="22"/>
    </row>
    <row r="70" spans="1:6">
      <c r="A70" s="22" t="s">
        <v>91</v>
      </c>
      <c r="B70" s="22">
        <f>0.000249998755985205*C60</f>
        <v>3.3340175910080511E-5</v>
      </c>
      <c r="C70" s="22" t="s">
        <v>14</v>
      </c>
      <c r="D70" s="22"/>
      <c r="E70" s="22"/>
      <c r="F70" s="22"/>
    </row>
    <row r="71" spans="1:6">
      <c r="A71" s="22" t="s">
        <v>92</v>
      </c>
      <c r="B71" s="22">
        <f>0.0708948966079666*C60</f>
        <v>9.4546403429961786E-3</v>
      </c>
      <c r="C71" s="22" t="s">
        <v>14</v>
      </c>
      <c r="D71" s="22"/>
      <c r="E71" s="22"/>
      <c r="F71" s="22"/>
    </row>
    <row r="72" spans="1:6">
      <c r="A72" s="22" t="s">
        <v>93</v>
      </c>
      <c r="B72" s="22">
        <f>0.0000749996267955615*C60</f>
        <v>1.0002052773024152E-5</v>
      </c>
      <c r="C72" s="22" t="s">
        <v>14</v>
      </c>
      <c r="D72" s="22"/>
      <c r="E72" s="22"/>
      <c r="F72" s="22"/>
    </row>
    <row r="73" spans="1:6">
      <c r="A73" s="22" t="s">
        <v>94</v>
      </c>
      <c r="B73" s="22">
        <f>0.000041275832256505*C60</f>
        <v>5.5046014242898571E-6</v>
      </c>
      <c r="C73" s="22" t="s">
        <v>14</v>
      </c>
      <c r="D73" s="22"/>
      <c r="E73" s="22"/>
      <c r="F73" s="22"/>
    </row>
    <row r="74" spans="1:6">
      <c r="A74" s="22" t="s">
        <v>95</v>
      </c>
      <c r="B74" s="22">
        <f>0.00527997372640753*C60</f>
        <v>7.0414451522090031E-4</v>
      </c>
      <c r="C74" s="22" t="s">
        <v>14</v>
      </c>
      <c r="D74" s="22"/>
      <c r="E74" s="22"/>
      <c r="F74" s="22"/>
    </row>
    <row r="76" spans="1:6" ht="15">
      <c r="A76" s="31" t="s">
        <v>96</v>
      </c>
      <c r="B76" s="19"/>
      <c r="C76" s="19"/>
      <c r="D76" s="19"/>
      <c r="E76" s="19"/>
      <c r="F76" s="19"/>
    </row>
    <row r="77" spans="1:6" ht="15">
      <c r="A77" s="18" t="s">
        <v>44</v>
      </c>
      <c r="B77" s="19"/>
      <c r="C77" s="19"/>
      <c r="D77" s="19"/>
      <c r="E77" s="19"/>
      <c r="F77" s="19"/>
    </row>
    <row r="78" spans="1:6">
      <c r="A78" s="19" t="s">
        <v>85</v>
      </c>
      <c r="B78" s="20">
        <f>7.5/780*B69</f>
        <v>4.8703624122618545E-3</v>
      </c>
      <c r="C78" s="19" t="s">
        <v>65</v>
      </c>
      <c r="D78" s="41" t="s">
        <v>97</v>
      </c>
      <c r="E78" s="19" t="s">
        <v>98</v>
      </c>
      <c r="F78" s="19" t="s">
        <v>68</v>
      </c>
    </row>
    <row r="79" spans="1:6">
      <c r="A79" s="19" t="s">
        <v>99</v>
      </c>
      <c r="B79" s="20">
        <f>3000/(20*3000*780)</f>
        <v>6.4102564102564103E-5</v>
      </c>
      <c r="C79" s="19" t="s">
        <v>14</v>
      </c>
      <c r="D79" s="19" t="s">
        <v>100</v>
      </c>
      <c r="E79" s="19" t="s">
        <v>101</v>
      </c>
      <c r="F79" s="19" t="s">
        <v>72</v>
      </c>
    </row>
    <row r="80" spans="1:6">
      <c r="A80" s="19"/>
      <c r="B80" s="19"/>
      <c r="C80" s="19"/>
      <c r="D80" s="19"/>
      <c r="E80" s="19"/>
      <c r="F80" s="19"/>
    </row>
    <row r="81" spans="1:6" ht="15">
      <c r="A81" s="18" t="s">
        <v>76</v>
      </c>
      <c r="B81" s="19"/>
      <c r="C81" s="19"/>
      <c r="D81" s="19"/>
      <c r="E81" s="19"/>
      <c r="F81" s="19"/>
    </row>
    <row r="82" spans="1:6">
      <c r="A82" s="19" t="s">
        <v>54</v>
      </c>
      <c r="B82" s="19">
        <v>1</v>
      </c>
      <c r="C82" s="19" t="s">
        <v>102</v>
      </c>
      <c r="D82" s="19"/>
      <c r="E82" s="19"/>
      <c r="F82" s="19"/>
    </row>
    <row r="83" spans="1:6">
      <c r="A83" s="19" t="s">
        <v>103</v>
      </c>
      <c r="B83" s="20">
        <f>(B69-B84)/1000</f>
        <v>2.5325884543761642E-4</v>
      </c>
      <c r="C83" s="19" t="s">
        <v>23</v>
      </c>
      <c r="D83" s="19"/>
      <c r="E83" s="19"/>
      <c r="F83" s="19" t="s">
        <v>104</v>
      </c>
    </row>
    <row r="84" spans="1:6">
      <c r="A84" s="19" t="s">
        <v>105</v>
      </c>
      <c r="B84" s="20">
        <f>B69*(1-B18)/(1-B19)</f>
        <v>0.2532588454376164</v>
      </c>
      <c r="C84" s="19" t="s">
        <v>14</v>
      </c>
      <c r="D84" s="19"/>
      <c r="E84" s="19"/>
      <c r="F84" s="19"/>
    </row>
    <row r="86" spans="1:6" ht="15">
      <c r="A86" s="33" t="s">
        <v>107</v>
      </c>
      <c r="B86" s="24"/>
      <c r="C86" s="25"/>
      <c r="D86" s="24" t="s">
        <v>108</v>
      </c>
      <c r="E86" s="25"/>
      <c r="F86" s="25"/>
    </row>
    <row r="87" spans="1:6" ht="15">
      <c r="A87" s="24" t="s">
        <v>44</v>
      </c>
      <c r="B87" s="25"/>
      <c r="C87" s="25"/>
      <c r="D87" s="25"/>
      <c r="E87" s="25"/>
      <c r="F87" s="25"/>
    </row>
    <row r="88" spans="1:6">
      <c r="A88" s="25" t="s">
        <v>109</v>
      </c>
      <c r="B88" s="26">
        <v>2.0799999999999999E-4</v>
      </c>
      <c r="C88" s="25" t="s">
        <v>14</v>
      </c>
      <c r="D88" s="25"/>
      <c r="E88" s="25"/>
      <c r="F88" s="25" t="s">
        <v>110</v>
      </c>
    </row>
    <row r="89" spans="1:6">
      <c r="A89" s="25" t="s">
        <v>111</v>
      </c>
      <c r="B89" s="26">
        <v>5.4000000000000001E-11</v>
      </c>
      <c r="C89" s="25" t="s">
        <v>46</v>
      </c>
      <c r="D89" s="25"/>
      <c r="E89" s="25"/>
      <c r="F89" s="25" t="s">
        <v>112</v>
      </c>
    </row>
    <row r="90" spans="1:6">
      <c r="A90" s="25" t="s">
        <v>85</v>
      </c>
      <c r="B90" s="25">
        <v>0.18562874251497</v>
      </c>
      <c r="C90" s="25" t="s">
        <v>86</v>
      </c>
      <c r="D90" s="25"/>
      <c r="E90" s="25"/>
      <c r="F90" s="25" t="s">
        <v>68</v>
      </c>
    </row>
    <row r="91" spans="1:6">
      <c r="A91" s="25" t="s">
        <v>113</v>
      </c>
      <c r="B91" s="26">
        <v>1.4999999999999999E-4</v>
      </c>
      <c r="C91" s="25" t="s">
        <v>14</v>
      </c>
      <c r="D91" s="25"/>
      <c r="E91" s="25"/>
      <c r="F91" s="25" t="s">
        <v>114</v>
      </c>
    </row>
    <row r="92" spans="1:6">
      <c r="A92" s="25" t="s">
        <v>115</v>
      </c>
      <c r="B92" s="26">
        <v>3.98E-6</v>
      </c>
      <c r="C92" s="25" t="s">
        <v>14</v>
      </c>
      <c r="D92" s="25"/>
      <c r="E92" s="25"/>
      <c r="F92" s="25" t="s">
        <v>116</v>
      </c>
    </row>
    <row r="93" spans="1:6">
      <c r="A93" s="25"/>
      <c r="B93" s="25"/>
      <c r="C93" s="25"/>
      <c r="D93" s="25"/>
      <c r="E93" s="25"/>
      <c r="F93" s="25"/>
    </row>
    <row r="94" spans="1:6" ht="15">
      <c r="A94" s="24" t="s">
        <v>61</v>
      </c>
      <c r="B94" s="25"/>
      <c r="C94" s="25"/>
      <c r="D94" s="25"/>
      <c r="E94" s="25"/>
      <c r="F94" s="25"/>
    </row>
    <row r="95" spans="1:6">
      <c r="A95" s="25" t="s">
        <v>47</v>
      </c>
      <c r="B95" s="25">
        <v>1</v>
      </c>
      <c r="C95" s="25" t="s">
        <v>46</v>
      </c>
      <c r="D95" s="25"/>
      <c r="E95" s="25"/>
      <c r="F95" s="25"/>
    </row>
    <row r="96" spans="1:6">
      <c r="A96" s="25" t="s">
        <v>117</v>
      </c>
      <c r="B96" s="25">
        <v>1</v>
      </c>
      <c r="C96" s="25" t="s">
        <v>23</v>
      </c>
      <c r="D96" s="25"/>
      <c r="E96" s="25"/>
      <c r="F96" s="25"/>
    </row>
    <row r="97" spans="1:6">
      <c r="A97" s="25" t="s">
        <v>92</v>
      </c>
      <c r="B97" s="26">
        <v>0.97457000000000005</v>
      </c>
      <c r="C97" s="25" t="s">
        <v>14</v>
      </c>
      <c r="D97" s="25"/>
      <c r="E97" s="25"/>
      <c r="F97" s="25"/>
    </row>
    <row r="98" spans="1:6">
      <c r="A98" s="25" t="s">
        <v>118</v>
      </c>
      <c r="B98" s="26">
        <v>1.28</v>
      </c>
      <c r="C98" s="25" t="s">
        <v>50</v>
      </c>
      <c r="D98" s="25"/>
      <c r="E98" s="25"/>
      <c r="F98" s="25"/>
    </row>
    <row r="99" spans="1:6">
      <c r="A99" s="25" t="s">
        <v>94</v>
      </c>
      <c r="B99" s="26">
        <v>6.7000000000000002E-6</v>
      </c>
      <c r="C99" s="25" t="s">
        <v>14</v>
      </c>
      <c r="D99" s="25"/>
      <c r="E99" s="25"/>
      <c r="F99" s="25"/>
    </row>
    <row r="100" spans="1:6">
      <c r="A100" s="25" t="s">
        <v>95</v>
      </c>
      <c r="B100" s="25">
        <v>8.6E-3</v>
      </c>
      <c r="C100" s="25" t="s">
        <v>14</v>
      </c>
      <c r="D100" s="25"/>
      <c r="E100" s="25"/>
      <c r="F100" s="25"/>
    </row>
    <row r="101" spans="1:6">
      <c r="A101" s="25" t="s">
        <v>119</v>
      </c>
      <c r="B101" s="25">
        <v>4.8779999999999997E-2</v>
      </c>
      <c r="C101" s="25" t="s">
        <v>14</v>
      </c>
      <c r="D101" s="25"/>
      <c r="E101" s="25"/>
      <c r="F101" s="25"/>
    </row>
    <row r="102" spans="1:6">
      <c r="A102" s="25" t="s">
        <v>120</v>
      </c>
      <c r="B102" s="26">
        <v>6.5989999999999998E-6</v>
      </c>
      <c r="C102" s="25" t="s">
        <v>14</v>
      </c>
      <c r="D102" s="25"/>
      <c r="E102" s="25"/>
      <c r="F102" s="25"/>
    </row>
    <row r="104" spans="1:6" ht="15">
      <c r="A104" s="34" t="s">
        <v>49</v>
      </c>
      <c r="B104" s="28"/>
      <c r="C104" s="28"/>
      <c r="D104" s="27" t="s">
        <v>121</v>
      </c>
      <c r="E104" s="28"/>
      <c r="F104" s="28"/>
    </row>
    <row r="105" spans="1:6" ht="15">
      <c r="A105" s="27" t="s">
        <v>44</v>
      </c>
      <c r="B105" s="28"/>
      <c r="C105" s="28"/>
      <c r="D105" s="28"/>
      <c r="E105" s="28"/>
      <c r="F105" s="28"/>
    </row>
    <row r="106" spans="1:6">
      <c r="A106" s="28" t="s">
        <v>85</v>
      </c>
      <c r="B106" s="28">
        <v>2.7244000000000001E-3</v>
      </c>
      <c r="C106" s="28" t="s">
        <v>86</v>
      </c>
      <c r="D106" s="28"/>
      <c r="E106" s="28"/>
      <c r="F106" s="28" t="s">
        <v>68</v>
      </c>
    </row>
    <row r="107" spans="1:6">
      <c r="A107" s="28" t="s">
        <v>122</v>
      </c>
      <c r="B107" s="29">
        <v>6.4679999999999999E-7</v>
      </c>
      <c r="C107" s="28" t="s">
        <v>46</v>
      </c>
      <c r="D107" s="28"/>
      <c r="E107" s="28"/>
      <c r="F107" s="28" t="s">
        <v>123</v>
      </c>
    </row>
    <row r="108" spans="1:6">
      <c r="A108" s="28"/>
      <c r="B108" s="28"/>
      <c r="C108" s="28"/>
      <c r="D108" s="28"/>
      <c r="E108" s="28"/>
      <c r="F108" s="28"/>
    </row>
    <row r="109" spans="1:6" ht="15">
      <c r="A109" s="27" t="s">
        <v>61</v>
      </c>
      <c r="B109" s="28"/>
      <c r="C109" s="28"/>
      <c r="D109" s="28"/>
      <c r="E109" s="28"/>
      <c r="F109" s="28"/>
    </row>
    <row r="110" spans="1:6">
      <c r="A110" s="28" t="s">
        <v>124</v>
      </c>
      <c r="B110" s="28">
        <v>1</v>
      </c>
      <c r="C110" s="28" t="s">
        <v>46</v>
      </c>
      <c r="D110" s="28"/>
      <c r="E110" s="28"/>
      <c r="F110" s="28"/>
    </row>
    <row r="111" spans="1:6">
      <c r="A111" s="28" t="s">
        <v>125</v>
      </c>
      <c r="B111" s="28">
        <v>0</v>
      </c>
      <c r="C111" s="28" t="s">
        <v>50</v>
      </c>
      <c r="D111" s="28"/>
      <c r="E111" s="28" t="s">
        <v>126</v>
      </c>
      <c r="F111" s="28"/>
    </row>
    <row r="112" spans="1:6" ht="15">
      <c r="A112" s="27" t="s">
        <v>127</v>
      </c>
      <c r="B112" s="28"/>
      <c r="C112" s="28"/>
      <c r="D112" s="28"/>
      <c r="E112" s="28"/>
      <c r="F112" s="28"/>
    </row>
    <row r="113" spans="1:6">
      <c r="A113" s="28" t="s">
        <v>128</v>
      </c>
      <c r="B113" s="29">
        <v>9.7999999999999992E-10</v>
      </c>
      <c r="C113" s="28" t="s">
        <v>14</v>
      </c>
      <c r="D113" s="28"/>
      <c r="E113" s="28"/>
      <c r="F113" s="28"/>
    </row>
    <row r="114" spans="1:6">
      <c r="A114" s="28" t="s">
        <v>129</v>
      </c>
      <c r="B114" s="29">
        <v>1.4700000000000001E-7</v>
      </c>
      <c r="C114" s="28" t="s">
        <v>14</v>
      </c>
      <c r="D114" s="28"/>
      <c r="E114" s="28"/>
      <c r="F114" s="28"/>
    </row>
    <row r="115" spans="1:6">
      <c r="A115" s="28" t="s">
        <v>130</v>
      </c>
      <c r="B115" s="29">
        <v>3.9200000000000002E-7</v>
      </c>
      <c r="C115" s="28" t="s">
        <v>14</v>
      </c>
      <c r="D115" s="28"/>
      <c r="E115" s="28"/>
      <c r="F115" s="28"/>
    </row>
    <row r="116" spans="1:6">
      <c r="A116" s="28" t="s">
        <v>131</v>
      </c>
      <c r="B116" s="29">
        <v>9.7999999999999994E-12</v>
      </c>
      <c r="C116" s="28" t="s">
        <v>14</v>
      </c>
      <c r="D116" s="28"/>
      <c r="E116" s="28"/>
      <c r="F116" s="28"/>
    </row>
    <row r="117" spans="1:6">
      <c r="A117" s="28" t="s">
        <v>132</v>
      </c>
      <c r="B117" s="29">
        <v>6.8599999999999998E-7</v>
      </c>
      <c r="C117" s="28" t="s">
        <v>14</v>
      </c>
      <c r="D117" s="28"/>
      <c r="E117" s="28"/>
      <c r="F117" s="28"/>
    </row>
    <row r="118" spans="1:6">
      <c r="A118" s="28" t="s">
        <v>92</v>
      </c>
      <c r="B118" s="28">
        <v>5.4879999999999998E-2</v>
      </c>
      <c r="C118" s="28" t="s">
        <v>14</v>
      </c>
      <c r="D118" s="28"/>
      <c r="E118" s="28"/>
      <c r="F118" s="28"/>
    </row>
    <row r="119" spans="1:6">
      <c r="A119" s="28" t="s">
        <v>133</v>
      </c>
      <c r="B119" s="29">
        <v>5.7819999999999999E-6</v>
      </c>
      <c r="C119" s="28" t="s">
        <v>14</v>
      </c>
      <c r="D119" s="28"/>
      <c r="E119" s="28"/>
      <c r="F119" s="28"/>
    </row>
    <row r="120" spans="1:6">
      <c r="A120" s="28" t="s">
        <v>93</v>
      </c>
      <c r="B120" s="29">
        <v>4.8999999999999997E-7</v>
      </c>
      <c r="C120" s="28" t="s">
        <v>14</v>
      </c>
      <c r="D120" s="28"/>
      <c r="E120" s="28"/>
      <c r="F120" s="28"/>
    </row>
    <row r="121" spans="1:6">
      <c r="A121" s="28" t="s">
        <v>134</v>
      </c>
      <c r="B121" s="29">
        <v>2.9400000000000001E-17</v>
      </c>
      <c r="C121" s="28" t="s">
        <v>14</v>
      </c>
      <c r="D121" s="28"/>
      <c r="E121" s="28"/>
      <c r="F121" s="28"/>
    </row>
    <row r="122" spans="1:6">
      <c r="A122" s="28" t="s">
        <v>135</v>
      </c>
      <c r="B122" s="29">
        <v>9.8000000000000004E-8</v>
      </c>
      <c r="C122" s="28" t="s">
        <v>14</v>
      </c>
      <c r="D122" s="28"/>
      <c r="E122" s="28"/>
      <c r="F122" s="28"/>
    </row>
    <row r="123" spans="1:6">
      <c r="A123" s="28" t="s">
        <v>136</v>
      </c>
      <c r="B123" s="29">
        <v>2.9400000000000003E-11</v>
      </c>
      <c r="C123" s="28" t="s">
        <v>14</v>
      </c>
      <c r="D123" s="28"/>
      <c r="E123" s="28"/>
      <c r="F123" s="28"/>
    </row>
    <row r="124" spans="1:6">
      <c r="A124" s="28" t="s">
        <v>95</v>
      </c>
      <c r="B124" s="29">
        <v>1.9599999999999999E-6</v>
      </c>
      <c r="C124" s="28" t="s">
        <v>14</v>
      </c>
      <c r="D124" s="28"/>
      <c r="E124" s="28"/>
      <c r="F124" s="28"/>
    </row>
    <row r="125" spans="1:6">
      <c r="A125" s="28" t="s">
        <v>137</v>
      </c>
      <c r="B125" s="29">
        <v>1.2739999999999999E-7</v>
      </c>
      <c r="C125" s="28" t="s">
        <v>14</v>
      </c>
      <c r="D125" s="28"/>
      <c r="E125" s="28"/>
      <c r="F125" s="28"/>
    </row>
    <row r="126" spans="1:6">
      <c r="A126" s="28" t="s">
        <v>138</v>
      </c>
      <c r="B126" s="29">
        <v>2.9400000000000002E-9</v>
      </c>
      <c r="C126" s="28" t="s">
        <v>14</v>
      </c>
      <c r="D126" s="28"/>
      <c r="E126" s="28"/>
      <c r="F126" s="28"/>
    </row>
    <row r="127" spans="1:6">
      <c r="A127" s="28" t="s">
        <v>139</v>
      </c>
      <c r="B127" s="29">
        <v>9.7019999999999996E-6</v>
      </c>
      <c r="C127" s="28" t="s">
        <v>14</v>
      </c>
      <c r="D127" s="28"/>
      <c r="E127" s="28"/>
      <c r="F127" s="28"/>
    </row>
    <row r="128" spans="1:6">
      <c r="A128" s="28" t="s">
        <v>140</v>
      </c>
      <c r="B128" s="29">
        <v>9.8000000000000001E-9</v>
      </c>
      <c r="C128" s="28" t="s">
        <v>14</v>
      </c>
      <c r="D128" s="28"/>
      <c r="E128" s="28"/>
      <c r="F128" s="28"/>
    </row>
    <row r="129" spans="1:6">
      <c r="A129" s="28" t="s">
        <v>141</v>
      </c>
      <c r="B129" s="29">
        <v>9.8000000000000004E-8</v>
      </c>
      <c r="C129" s="28" t="s">
        <v>14</v>
      </c>
      <c r="D129" s="28"/>
      <c r="E129" s="28"/>
      <c r="F129" s="28"/>
    </row>
    <row r="130" spans="1:6">
      <c r="A130" s="28" t="s">
        <v>142</v>
      </c>
      <c r="B130" s="29">
        <v>1.176E-6</v>
      </c>
      <c r="C130" s="28" t="s">
        <v>14</v>
      </c>
      <c r="D130" s="28"/>
      <c r="E130" s="28"/>
      <c r="F130" s="28"/>
    </row>
    <row r="131" spans="1:6">
      <c r="A131" s="28" t="s">
        <v>143</v>
      </c>
      <c r="B131" s="29">
        <v>1.9600000000000001E-7</v>
      </c>
      <c r="C131" s="28" t="s">
        <v>14</v>
      </c>
      <c r="D131" s="28"/>
      <c r="E131" s="28"/>
      <c r="F131" s="28"/>
    </row>
    <row r="132" spans="1:6">
      <c r="A132" s="28" t="s">
        <v>144</v>
      </c>
      <c r="B132" s="29">
        <v>1.96E-8</v>
      </c>
      <c r="C132" s="28" t="s">
        <v>14</v>
      </c>
      <c r="D132" s="28"/>
      <c r="E132" s="28"/>
      <c r="F132" s="28"/>
    </row>
    <row r="133" spans="1:6">
      <c r="A133" s="28" t="s">
        <v>145</v>
      </c>
      <c r="B133" s="29">
        <v>4.9000000000000002E-8</v>
      </c>
      <c r="C133" s="28" t="s">
        <v>14</v>
      </c>
      <c r="D133" s="28"/>
      <c r="E133" s="28"/>
      <c r="F133" s="28"/>
    </row>
    <row r="134" spans="1:6">
      <c r="A134" s="28" t="s">
        <v>146</v>
      </c>
      <c r="B134" s="29">
        <v>4.9000000000000002E-8</v>
      </c>
      <c r="C134" s="28" t="s">
        <v>14</v>
      </c>
      <c r="D134" s="28"/>
      <c r="E134" s="28"/>
      <c r="F134" s="28"/>
    </row>
    <row r="135" spans="1:6">
      <c r="A135" s="28" t="s">
        <v>120</v>
      </c>
      <c r="B135" s="29">
        <v>4.8999999999999997E-7</v>
      </c>
      <c r="C135" s="28" t="s">
        <v>14</v>
      </c>
      <c r="D135" s="28"/>
      <c r="E135" s="28"/>
      <c r="F135" s="28"/>
    </row>
    <row r="136" spans="1:6">
      <c r="A136" s="28" t="s">
        <v>147</v>
      </c>
      <c r="B136" s="29">
        <v>1.9600000000000001E-7</v>
      </c>
      <c r="C136" s="28" t="s">
        <v>14</v>
      </c>
      <c r="D136" s="28"/>
      <c r="E136" s="28"/>
      <c r="F136" s="28"/>
    </row>
    <row r="138" spans="1:6" ht="15">
      <c r="A138" s="30" t="s">
        <v>148</v>
      </c>
      <c r="B138" s="16"/>
      <c r="C138" s="16"/>
      <c r="D138" s="16"/>
      <c r="E138" s="16"/>
      <c r="F138" s="16"/>
    </row>
    <row r="139" spans="1:6" ht="15">
      <c r="A139" s="15" t="s">
        <v>44</v>
      </c>
      <c r="B139" s="16"/>
      <c r="C139" s="16"/>
      <c r="D139" s="16"/>
      <c r="E139" s="16"/>
      <c r="F139" s="16"/>
    </row>
    <row r="140" spans="1:6">
      <c r="A140" s="16" t="s">
        <v>85</v>
      </c>
      <c r="B140" s="16">
        <v>4.6333333333333296E-3</v>
      </c>
      <c r="C140" s="16" t="s">
        <v>86</v>
      </c>
      <c r="D140" s="16"/>
      <c r="E140" s="16"/>
      <c r="F140" s="16" t="s">
        <v>68</v>
      </c>
    </row>
    <row r="141" spans="1:6">
      <c r="A141" s="16" t="s">
        <v>149</v>
      </c>
      <c r="B141" s="17">
        <v>3.1111111111111102E-9</v>
      </c>
      <c r="C141" s="16" t="s">
        <v>46</v>
      </c>
      <c r="D141" s="16"/>
      <c r="E141" s="16"/>
      <c r="F141" s="16" t="s">
        <v>150</v>
      </c>
    </row>
    <row r="142" spans="1:6">
      <c r="A142" s="16" t="s">
        <v>151</v>
      </c>
      <c r="B142" s="16">
        <v>3.0864197530864199E-2</v>
      </c>
      <c r="C142" s="16" t="s">
        <v>23</v>
      </c>
      <c r="D142" s="16"/>
      <c r="E142" s="16"/>
      <c r="F142" s="16" t="s">
        <v>152</v>
      </c>
    </row>
    <row r="143" spans="1:6">
      <c r="A143" s="16"/>
      <c r="B143" s="16"/>
      <c r="C143" s="16"/>
      <c r="D143" s="16"/>
      <c r="E143" s="16"/>
      <c r="F143" s="16"/>
    </row>
    <row r="144" spans="1:6" ht="15">
      <c r="A144" s="15" t="s">
        <v>76</v>
      </c>
      <c r="B144" s="16"/>
      <c r="C144" s="16"/>
      <c r="D144" s="16"/>
      <c r="E144" s="16"/>
      <c r="F144" s="16"/>
    </row>
    <row r="145" spans="1:6">
      <c r="A145" s="16" t="s">
        <v>87</v>
      </c>
      <c r="B145" s="16">
        <v>1</v>
      </c>
      <c r="C145" s="16" t="s">
        <v>50</v>
      </c>
      <c r="D145" s="16"/>
      <c r="E145" s="16"/>
      <c r="F145" s="16"/>
    </row>
    <row r="146" spans="1:6">
      <c r="A146" s="16" t="s">
        <v>128</v>
      </c>
      <c r="B146" s="17">
        <v>1.11111111111111E-9</v>
      </c>
      <c r="C146" s="16" t="s">
        <v>14</v>
      </c>
      <c r="D146" s="16"/>
      <c r="E146" s="16"/>
      <c r="F146" s="16"/>
    </row>
    <row r="147" spans="1:6">
      <c r="A147" s="16" t="s">
        <v>129</v>
      </c>
      <c r="B147" s="17">
        <v>1.6666666666666699E-7</v>
      </c>
      <c r="C147" s="16" t="s">
        <v>14</v>
      </c>
      <c r="D147" s="16"/>
      <c r="E147" s="16"/>
      <c r="F147" s="16"/>
    </row>
    <row r="148" spans="1:6">
      <c r="A148" s="16" t="s">
        <v>130</v>
      </c>
      <c r="B148" s="17">
        <v>4.4444444444444401E-7</v>
      </c>
      <c r="C148" s="16" t="s">
        <v>14</v>
      </c>
      <c r="D148" s="16"/>
      <c r="E148" s="16"/>
      <c r="F148" s="16"/>
    </row>
    <row r="149" spans="1:6">
      <c r="A149" s="17" t="s">
        <v>131</v>
      </c>
      <c r="B149" s="17">
        <v>1.11111111111111E-11</v>
      </c>
      <c r="C149" s="16" t="s">
        <v>14</v>
      </c>
      <c r="D149" s="16"/>
      <c r="E149" s="16"/>
      <c r="F149" s="16"/>
    </row>
    <row r="150" spans="1:6">
      <c r="A150" s="17" t="s">
        <v>132</v>
      </c>
      <c r="B150" s="17">
        <v>7.77777777777778E-7</v>
      </c>
      <c r="C150" s="16" t="s">
        <v>14</v>
      </c>
      <c r="D150" s="16"/>
      <c r="E150" s="16"/>
      <c r="F150" s="16"/>
    </row>
    <row r="151" spans="1:6">
      <c r="A151" s="17" t="s">
        <v>153</v>
      </c>
      <c r="B151" s="16">
        <v>6.22222222222222E-2</v>
      </c>
      <c r="C151" s="16" t="s">
        <v>14</v>
      </c>
      <c r="D151" s="16"/>
      <c r="E151" s="16"/>
      <c r="F151" s="16"/>
    </row>
    <row r="152" spans="1:6">
      <c r="A152" s="17" t="s">
        <v>154</v>
      </c>
      <c r="B152" s="17">
        <v>1.5555555555555599E-5</v>
      </c>
      <c r="C152" s="16" t="s">
        <v>14</v>
      </c>
      <c r="D152" s="16"/>
      <c r="E152" s="16"/>
      <c r="F152" s="16"/>
    </row>
    <row r="153" spans="1:6">
      <c r="A153" s="17" t="s">
        <v>93</v>
      </c>
      <c r="B153" s="17">
        <v>1.11111111111111E-7</v>
      </c>
      <c r="C153" s="16" t="s">
        <v>14</v>
      </c>
      <c r="D153" s="16"/>
      <c r="E153" s="16"/>
      <c r="F153" s="16"/>
    </row>
    <row r="154" spans="1:6">
      <c r="A154" s="16" t="s">
        <v>134</v>
      </c>
      <c r="B154" s="17">
        <v>3.3333333333333298E-17</v>
      </c>
      <c r="C154" s="16" t="s">
        <v>14</v>
      </c>
      <c r="D154" s="16"/>
      <c r="E154" s="16"/>
      <c r="F154" s="17"/>
    </row>
    <row r="155" spans="1:6">
      <c r="A155" s="16" t="s">
        <v>135</v>
      </c>
      <c r="B155" s="17">
        <v>1.11111111111111E-7</v>
      </c>
      <c r="C155" s="16" t="s">
        <v>14</v>
      </c>
      <c r="D155" s="16"/>
      <c r="E155" s="17"/>
      <c r="F155" s="16"/>
    </row>
    <row r="156" spans="1:6">
      <c r="A156" s="17" t="s">
        <v>136</v>
      </c>
      <c r="B156" s="17">
        <v>3.3333333333333302E-11</v>
      </c>
      <c r="C156" s="16" t="s">
        <v>14</v>
      </c>
      <c r="D156" s="16"/>
      <c r="E156" s="16"/>
      <c r="F156" s="16"/>
    </row>
    <row r="157" spans="1:6">
      <c r="A157" s="16" t="s">
        <v>155</v>
      </c>
      <c r="B157" s="17">
        <v>2.22222222222222E-6</v>
      </c>
      <c r="C157" s="16" t="s">
        <v>14</v>
      </c>
      <c r="D157" s="16"/>
      <c r="E157" s="16"/>
      <c r="F157" s="16"/>
    </row>
    <row r="158" spans="1:6">
      <c r="A158" s="16" t="s">
        <v>139</v>
      </c>
      <c r="B158" s="17">
        <v>2.5555555555555602E-5</v>
      </c>
      <c r="C158" s="16" t="s">
        <v>14</v>
      </c>
      <c r="D158" s="16"/>
      <c r="E158" s="16"/>
      <c r="F158" s="16"/>
    </row>
    <row r="159" spans="1:6">
      <c r="A159" s="16" t="s">
        <v>140</v>
      </c>
      <c r="B159" s="17">
        <v>1.11111111111111E-8</v>
      </c>
      <c r="C159" s="16" t="s">
        <v>14</v>
      </c>
      <c r="D159" s="16"/>
      <c r="E159" s="16"/>
      <c r="F159" s="16"/>
    </row>
    <row r="160" spans="1:6">
      <c r="A160" s="16" t="s">
        <v>141</v>
      </c>
      <c r="B160" s="17">
        <v>1.11111111111111E-7</v>
      </c>
      <c r="C160" s="16" t="s">
        <v>14</v>
      </c>
      <c r="D160" s="16"/>
      <c r="E160" s="16"/>
      <c r="F160" s="16"/>
    </row>
    <row r="161" spans="1:6">
      <c r="A161" s="17" t="s">
        <v>142</v>
      </c>
      <c r="B161" s="17">
        <v>1.33333333333333E-6</v>
      </c>
      <c r="C161" s="16" t="s">
        <v>14</v>
      </c>
      <c r="D161" s="16"/>
      <c r="E161" s="16"/>
      <c r="F161" s="16"/>
    </row>
    <row r="162" spans="1:6">
      <c r="A162" s="17" t="s">
        <v>143</v>
      </c>
      <c r="B162" s="17">
        <v>2.2222222222222201E-7</v>
      </c>
      <c r="C162" s="16" t="s">
        <v>14</v>
      </c>
      <c r="D162" s="16"/>
      <c r="E162" s="16"/>
      <c r="F162" s="16"/>
    </row>
    <row r="163" spans="1:6">
      <c r="A163" s="16" t="s">
        <v>144</v>
      </c>
      <c r="B163" s="17">
        <v>2.2222222222222201E-8</v>
      </c>
      <c r="C163" s="16" t="s">
        <v>14</v>
      </c>
      <c r="D163" s="16"/>
      <c r="E163" s="16"/>
      <c r="F163" s="16"/>
    </row>
    <row r="164" spans="1:6">
      <c r="A164" s="16" t="s">
        <v>120</v>
      </c>
      <c r="B164" s="17">
        <v>6.1111111111111095E-7</v>
      </c>
      <c r="C164" s="16" t="s">
        <v>14</v>
      </c>
      <c r="D164" s="16"/>
      <c r="E164" s="16"/>
      <c r="F164" s="16"/>
    </row>
    <row r="165" spans="1:6">
      <c r="A165" s="17" t="s">
        <v>147</v>
      </c>
      <c r="B165" s="17">
        <v>2.2222222222222201E-7</v>
      </c>
      <c r="C165" s="16" t="s">
        <v>14</v>
      </c>
      <c r="D165" s="16"/>
      <c r="E165" s="16"/>
      <c r="F165" s="16"/>
    </row>
    <row r="166" spans="1:6">
      <c r="A166" s="3"/>
    </row>
    <row r="183" spans="1:2">
      <c r="B183" s="3"/>
    </row>
    <row r="186" spans="1:2">
      <c r="A186" s="3"/>
    </row>
    <row r="187" spans="1:2">
      <c r="A187" s="3"/>
    </row>
    <row r="188" spans="1:2">
      <c r="A188" s="3"/>
      <c r="B188" s="3"/>
    </row>
    <row r="189" spans="1:2">
      <c r="A189" s="3"/>
      <c r="B189" s="3"/>
    </row>
    <row r="193" spans="1:5">
      <c r="A193" s="3"/>
      <c r="E193" s="3"/>
    </row>
    <row r="194" spans="1:5">
      <c r="A194" s="3"/>
    </row>
    <row r="252" spans="1:1">
      <c r="A252" s="3"/>
    </row>
    <row r="253" spans="1:1">
      <c r="A253" s="3"/>
    </row>
    <row r="254" spans="1:1">
      <c r="A254" s="3"/>
    </row>
    <row r="257" spans="1:5">
      <c r="A257" s="3"/>
    </row>
    <row r="258" spans="1:5">
      <c r="B258" s="3"/>
    </row>
    <row r="259" spans="1:5">
      <c r="B259" s="3"/>
      <c r="E259" s="3"/>
    </row>
    <row r="260" spans="1:5">
      <c r="B260" s="3"/>
    </row>
    <row r="264" spans="1:5">
      <c r="B264" s="3"/>
      <c r="E264" s="3"/>
    </row>
    <row r="265" spans="1:5">
      <c r="B265" s="3"/>
    </row>
    <row r="312" spans="1:5">
      <c r="A312" s="3"/>
    </row>
    <row r="313" spans="1:5">
      <c r="A313" s="3"/>
    </row>
    <row r="314" spans="1:5">
      <c r="A314" s="3"/>
    </row>
    <row r="318" spans="1:5">
      <c r="A318" s="3"/>
      <c r="E318" s="3"/>
    </row>
    <row r="319" spans="1:5">
      <c r="A319" s="3"/>
    </row>
    <row r="323" spans="1:6">
      <c r="A323" s="3"/>
    </row>
    <row r="324" spans="1:6">
      <c r="A324" s="3"/>
      <c r="F324" s="3"/>
    </row>
    <row r="325" spans="1:6">
      <c r="A325" s="3"/>
    </row>
    <row r="326" spans="1:6">
      <c r="A326" s="3"/>
    </row>
    <row r="327" spans="1:6">
      <c r="F327" s="3"/>
    </row>
    <row r="328" spans="1:6">
      <c r="E328" s="3"/>
    </row>
    <row r="329" spans="1:6">
      <c r="E329" s="3"/>
    </row>
    <row r="330" spans="1:6">
      <c r="A330" s="3"/>
    </row>
    <row r="339" spans="1:9">
      <c r="A339" s="3"/>
    </row>
    <row r="340" spans="1:9">
      <c r="A340" s="3"/>
    </row>
    <row r="345" spans="1:9">
      <c r="A345" s="3"/>
      <c r="E345" s="3"/>
      <c r="I345" s="3"/>
    </row>
    <row r="346" spans="1:9">
      <c r="A346" s="3"/>
      <c r="E346" s="3"/>
      <c r="F346" s="3"/>
      <c r="I346" s="3"/>
    </row>
    <row r="347" spans="1:9">
      <c r="A347" s="3"/>
      <c r="E347" s="3"/>
      <c r="F347" s="3"/>
      <c r="I347" s="3"/>
    </row>
    <row r="348" spans="1:9">
      <c r="A348" s="3"/>
      <c r="E348" s="3"/>
      <c r="I348" s="3"/>
    </row>
    <row r="349" spans="1:9">
      <c r="A349" s="3"/>
      <c r="E349" s="3"/>
      <c r="F349" s="3"/>
      <c r="I349" s="3"/>
    </row>
    <row r="350" spans="1:9">
      <c r="A350" s="3"/>
      <c r="E350" s="3"/>
      <c r="I350" s="3"/>
    </row>
    <row r="351" spans="1:9">
      <c r="E351" s="3"/>
      <c r="I351" s="3"/>
    </row>
    <row r="352" spans="1:9">
      <c r="A352" s="3"/>
      <c r="E352" s="3"/>
      <c r="F352" s="3"/>
      <c r="I352" s="3"/>
    </row>
    <row r="356" spans="1:5">
      <c r="A356" s="3"/>
    </row>
    <row r="362" spans="1:5">
      <c r="A362" s="3"/>
      <c r="E362" s="3"/>
    </row>
  </sheetData>
  <hyperlinks>
    <hyperlink ref="D78" r:id="rId1" display="https://biogasworld.com/fr/product/gestion-du-digestat/deshydratation-du-digestat/pressoir-rotatif-fournier/" xr:uid="{064ABBBC-E17C-41D6-B6DA-C18C6BCA3B3F}"/>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CE15D-4D56-4648-A6D6-F1DD8190BDBE}">
  <dimension ref="A1:F347"/>
  <sheetViews>
    <sheetView zoomScale="52" zoomScaleNormal="85" workbookViewId="0">
      <pane ySplit="1" topLeftCell="A271" activePane="bottomLeft" state="frozen"/>
      <selection pane="bottomLeft" activeCell="A57" sqref="A57"/>
    </sheetView>
  </sheetViews>
  <sheetFormatPr baseColWidth="10" defaultColWidth="9" defaultRowHeight="14.25"/>
  <cols>
    <col min="1" max="1" width="46.75" customWidth="1"/>
    <col min="2" max="2" width="79" customWidth="1"/>
    <col min="3" max="3" width="21.75" customWidth="1"/>
    <col min="4" max="4" width="28" customWidth="1"/>
    <col min="5" max="5" width="99.75" bestFit="1" customWidth="1"/>
    <col min="6" max="6" width="45.375" customWidth="1"/>
  </cols>
  <sheetData>
    <row r="1" spans="1:6" ht="15">
      <c r="A1" s="6" t="s">
        <v>6</v>
      </c>
      <c r="B1" s="6" t="s">
        <v>7</v>
      </c>
      <c r="C1" s="6" t="s">
        <v>8</v>
      </c>
      <c r="D1" s="6" t="s">
        <v>9</v>
      </c>
      <c r="E1" s="6" t="s">
        <v>10</v>
      </c>
      <c r="F1" s="6" t="s">
        <v>11</v>
      </c>
    </row>
    <row r="3" spans="1:6" ht="15">
      <c r="A3" s="36" t="s">
        <v>159</v>
      </c>
      <c r="B3" s="35"/>
      <c r="C3" s="35"/>
      <c r="D3" s="35"/>
      <c r="E3" s="35"/>
      <c r="F3" s="35"/>
    </row>
    <row r="4" spans="1:6">
      <c r="A4" s="35" t="s">
        <v>160</v>
      </c>
      <c r="B4" s="35">
        <v>1.2210000000000001</v>
      </c>
      <c r="C4" s="35" t="s">
        <v>17</v>
      </c>
      <c r="D4" s="35"/>
      <c r="E4" s="35"/>
      <c r="F4" s="35"/>
    </row>
    <row r="5" spans="1:6">
      <c r="A5" s="42" t="s">
        <v>161</v>
      </c>
      <c r="B5" s="35">
        <v>0.626</v>
      </c>
      <c r="C5" s="35"/>
      <c r="D5" s="35" t="s">
        <v>162</v>
      </c>
      <c r="E5" s="35"/>
      <c r="F5" s="35"/>
    </row>
    <row r="6" spans="1:6">
      <c r="A6" s="42" t="s">
        <v>163</v>
      </c>
      <c r="B6" s="35">
        <v>0.34499999999999997</v>
      </c>
      <c r="C6" s="35"/>
      <c r="D6" s="35" t="s">
        <v>162</v>
      </c>
      <c r="E6" s="35"/>
      <c r="F6" s="35"/>
    </row>
    <row r="7" spans="1:6">
      <c r="A7" s="42" t="s">
        <v>164</v>
      </c>
      <c r="B7" s="35">
        <v>2.9000000000000001E-2</v>
      </c>
      <c r="C7" s="35"/>
      <c r="D7" s="35" t="s">
        <v>162</v>
      </c>
      <c r="E7" s="35"/>
      <c r="F7" s="35"/>
    </row>
    <row r="8" spans="1:6">
      <c r="A8" s="42" t="s">
        <v>165</v>
      </c>
      <c r="B8" s="35">
        <v>0.80400000000000005</v>
      </c>
      <c r="C8" s="35"/>
      <c r="D8" s="35" t="s">
        <v>162</v>
      </c>
      <c r="E8" s="35"/>
      <c r="F8" s="35"/>
    </row>
    <row r="9" spans="1:6">
      <c r="A9" s="35" t="s">
        <v>166</v>
      </c>
      <c r="B9" s="35">
        <v>4.3249999999999997E-2</v>
      </c>
      <c r="C9" s="35" t="s">
        <v>14</v>
      </c>
      <c r="D9" s="35" t="s">
        <v>167</v>
      </c>
      <c r="E9" s="35"/>
      <c r="F9" s="35"/>
    </row>
    <row r="10" spans="1:6">
      <c r="A10" s="42" t="s">
        <v>168</v>
      </c>
      <c r="B10" s="35">
        <f>B16/27</f>
        <v>0.53703703703703709</v>
      </c>
      <c r="C10" s="35"/>
      <c r="D10" s="35" t="s">
        <v>169</v>
      </c>
      <c r="E10" s="35"/>
      <c r="F10" s="35"/>
    </row>
    <row r="11" spans="1:6">
      <c r="A11" s="42" t="s">
        <v>170</v>
      </c>
      <c r="B11" s="35">
        <f>21.6*4</f>
        <v>86.4</v>
      </c>
      <c r="C11" s="35" t="s">
        <v>171</v>
      </c>
      <c r="D11" s="35" t="s">
        <v>172</v>
      </c>
      <c r="E11" s="35"/>
      <c r="F11" s="35"/>
    </row>
    <row r="12" spans="1:6">
      <c r="A12" s="42" t="s">
        <v>173</v>
      </c>
      <c r="B12" s="35">
        <v>0.1268</v>
      </c>
      <c r="C12" s="35" t="s">
        <v>174</v>
      </c>
      <c r="D12" s="35" t="s">
        <v>172</v>
      </c>
      <c r="E12" s="35"/>
      <c r="F12" s="35"/>
    </row>
    <row r="13" spans="1:6">
      <c r="A13" s="35" t="s">
        <v>22</v>
      </c>
      <c r="B13" s="35">
        <v>1.53579</v>
      </c>
      <c r="C13" s="35" t="s">
        <v>23</v>
      </c>
      <c r="D13" s="35"/>
      <c r="E13" s="35"/>
      <c r="F13" s="35"/>
    </row>
    <row r="14" spans="1:6">
      <c r="A14" s="35" t="s">
        <v>24</v>
      </c>
      <c r="B14" s="35">
        <v>2.513E-2</v>
      </c>
      <c r="C14" s="35" t="s">
        <v>23</v>
      </c>
      <c r="D14" s="35"/>
      <c r="E14" s="35"/>
      <c r="F14" s="35"/>
    </row>
    <row r="15" spans="1:6">
      <c r="A15" s="35" t="s">
        <v>175</v>
      </c>
      <c r="B15" s="35">
        <v>0.7</v>
      </c>
      <c r="C15" s="35"/>
      <c r="D15" s="35"/>
      <c r="E15" s="35"/>
      <c r="F15" s="35"/>
    </row>
    <row r="16" spans="1:6">
      <c r="A16" s="35" t="s">
        <v>176</v>
      </c>
      <c r="B16" s="35">
        <v>14.5</v>
      </c>
      <c r="C16" s="35" t="s">
        <v>177</v>
      </c>
      <c r="D16" s="35" t="s">
        <v>172</v>
      </c>
      <c r="E16" s="35"/>
      <c r="F16" s="35"/>
    </row>
    <row r="18" spans="1:6" ht="15">
      <c r="A18" s="34" t="s">
        <v>178</v>
      </c>
      <c r="B18" s="28"/>
      <c r="C18" s="28"/>
      <c r="D18" s="28"/>
      <c r="E18" s="28"/>
      <c r="F18" s="28"/>
    </row>
    <row r="19" spans="1:6" ht="15">
      <c r="A19" s="27" t="s">
        <v>44</v>
      </c>
      <c r="B19" s="28"/>
      <c r="C19" s="28"/>
      <c r="D19" s="28"/>
      <c r="E19" s="28"/>
      <c r="F19" s="28"/>
    </row>
    <row r="20" spans="1:6">
      <c r="A20" s="28" t="s">
        <v>45</v>
      </c>
      <c r="B20" s="28">
        <v>1</v>
      </c>
      <c r="C20" s="28" t="s">
        <v>46</v>
      </c>
      <c r="D20" s="28"/>
      <c r="E20" s="28"/>
      <c r="F20" s="28"/>
    </row>
    <row r="21" spans="1:6">
      <c r="A21" s="28" t="s">
        <v>47</v>
      </c>
      <c r="B21" s="28">
        <v>0.15650723831737146</v>
      </c>
      <c r="C21" s="28" t="s">
        <v>46</v>
      </c>
      <c r="D21" s="28"/>
      <c r="E21" s="28"/>
      <c r="F21" s="28"/>
    </row>
    <row r="22" spans="1:6">
      <c r="A22" s="28" t="s">
        <v>48</v>
      </c>
      <c r="B22" s="28">
        <v>1</v>
      </c>
      <c r="C22" s="28" t="s">
        <v>46</v>
      </c>
      <c r="D22" s="28"/>
      <c r="E22" s="28"/>
      <c r="F22" s="28"/>
    </row>
    <row r="23" spans="1:6">
      <c r="A23" s="28" t="s">
        <v>49</v>
      </c>
      <c r="B23" s="28">
        <v>6.2279044296606232</v>
      </c>
      <c r="C23" s="28" t="s">
        <v>46</v>
      </c>
      <c r="D23" s="28"/>
      <c r="E23" s="28"/>
      <c r="F23" s="28"/>
    </row>
    <row r="24" spans="1:6">
      <c r="A24" s="28" t="s">
        <v>51</v>
      </c>
      <c r="B24" s="28">
        <v>-6.2279044296606232</v>
      </c>
      <c r="C24" s="28" t="s">
        <v>50</v>
      </c>
      <c r="D24" s="28"/>
      <c r="E24" s="28"/>
      <c r="F24" s="28" t="s">
        <v>52</v>
      </c>
    </row>
    <row r="25" spans="1:6">
      <c r="A25" s="28" t="s">
        <v>53</v>
      </c>
      <c r="B25" s="28">
        <v>1</v>
      </c>
      <c r="C25" s="28" t="s">
        <v>46</v>
      </c>
      <c r="D25" s="28"/>
      <c r="E25" s="28"/>
      <c r="F25" s="28"/>
    </row>
    <row r="26" spans="1:6">
      <c r="A26" s="28" t="s">
        <v>54</v>
      </c>
      <c r="B26" s="29">
        <v>1</v>
      </c>
      <c r="C26" s="28" t="s">
        <v>46</v>
      </c>
      <c r="D26" s="28"/>
      <c r="E26" s="28"/>
      <c r="F26" s="28"/>
    </row>
    <row r="27" spans="1:6">
      <c r="A27" s="28" t="s">
        <v>179</v>
      </c>
      <c r="B27" s="28">
        <v>1</v>
      </c>
      <c r="C27" s="28" t="s">
        <v>46</v>
      </c>
      <c r="D27" s="28"/>
      <c r="E27" s="28"/>
      <c r="F27" s="28"/>
    </row>
    <row r="28" spans="1:6">
      <c r="A28" s="28" t="s">
        <v>180</v>
      </c>
      <c r="B28" s="28">
        <v>1</v>
      </c>
      <c r="C28" s="28" t="s">
        <v>46</v>
      </c>
      <c r="D28" s="28"/>
      <c r="E28" s="28"/>
      <c r="F28" s="28"/>
    </row>
    <row r="29" spans="1:6" ht="15">
      <c r="A29" s="28" t="s">
        <v>181</v>
      </c>
      <c r="B29" s="29">
        <f>B73*B10/B9</f>
        <v>0.65619939771276525</v>
      </c>
      <c r="C29" s="28" t="s">
        <v>46</v>
      </c>
      <c r="D29" s="28"/>
      <c r="E29" s="27"/>
      <c r="F29" s="28"/>
    </row>
    <row r="30" spans="1:6">
      <c r="A30" s="28" t="s">
        <v>182</v>
      </c>
      <c r="B30" s="29">
        <f>-B29</f>
        <v>-0.65619939771276525</v>
      </c>
      <c r="C30" s="28" t="s">
        <v>50</v>
      </c>
      <c r="D30" s="28"/>
      <c r="E30" s="28"/>
      <c r="F30" s="28" t="s">
        <v>183</v>
      </c>
    </row>
    <row r="31" spans="1:6">
      <c r="A31" s="28" t="s">
        <v>184</v>
      </c>
      <c r="B31" s="28">
        <v>1</v>
      </c>
      <c r="C31" s="28" t="s">
        <v>46</v>
      </c>
      <c r="D31" s="28"/>
      <c r="E31" s="28"/>
      <c r="F31" s="28"/>
    </row>
    <row r="32" spans="1:6">
      <c r="A32" s="28" t="s">
        <v>185</v>
      </c>
      <c r="B32" s="29">
        <f>(B232/1000)/B13</f>
        <v>1.6052886704153268E-3</v>
      </c>
      <c r="C32" s="28" t="s">
        <v>46</v>
      </c>
      <c r="D32" s="28"/>
      <c r="E32" s="28"/>
      <c r="F32" s="28"/>
    </row>
    <row r="33" spans="1:6">
      <c r="A33" s="28" t="s">
        <v>186</v>
      </c>
      <c r="B33" s="29">
        <f>B32/B14</f>
        <v>6.3879374071441578E-2</v>
      </c>
      <c r="C33" s="28" t="s">
        <v>46</v>
      </c>
      <c r="D33" s="28"/>
      <c r="E33" s="28"/>
      <c r="F33" s="28"/>
    </row>
    <row r="34" spans="1:6">
      <c r="A34" s="28" t="s">
        <v>187</v>
      </c>
      <c r="B34" s="29">
        <f>-B33</f>
        <v>-6.3879374071441578E-2</v>
      </c>
      <c r="C34" s="28" t="s">
        <v>50</v>
      </c>
      <c r="D34" s="28"/>
      <c r="E34" s="28"/>
      <c r="F34" s="28" t="s">
        <v>52</v>
      </c>
    </row>
    <row r="35" spans="1:6">
      <c r="A35" s="28"/>
      <c r="B35" s="28"/>
      <c r="C35" s="28"/>
      <c r="D35" s="28"/>
      <c r="E35" s="28"/>
      <c r="F35" s="28"/>
    </row>
    <row r="36" spans="1:6" ht="15">
      <c r="A36" s="27" t="s">
        <v>61</v>
      </c>
      <c r="B36" s="28"/>
      <c r="C36" s="28"/>
      <c r="D36" s="28"/>
      <c r="E36" s="28"/>
      <c r="F36" s="28"/>
    </row>
    <row r="37" spans="1:6">
      <c r="A37" s="28" t="s">
        <v>62</v>
      </c>
      <c r="B37" s="28">
        <v>1</v>
      </c>
      <c r="C37" s="28" t="s">
        <v>14</v>
      </c>
      <c r="D37" s="28"/>
      <c r="E37" s="28"/>
      <c r="F37" s="28"/>
    </row>
    <row r="39" spans="1:6" ht="15">
      <c r="A39" s="1" t="s">
        <v>188</v>
      </c>
    </row>
    <row r="41" spans="1:6" ht="15">
      <c r="A41" s="18" t="s">
        <v>189</v>
      </c>
      <c r="B41" s="19"/>
      <c r="C41" s="19"/>
      <c r="D41" s="19"/>
      <c r="E41" s="19"/>
      <c r="F41" s="19"/>
    </row>
    <row r="42" spans="1:6" ht="15">
      <c r="A42" s="18" t="s">
        <v>44</v>
      </c>
      <c r="B42" s="19"/>
      <c r="C42" s="19"/>
      <c r="D42" s="19"/>
      <c r="E42" s="19"/>
      <c r="F42" s="19"/>
    </row>
    <row r="43" spans="1:6">
      <c r="A43" s="19" t="s">
        <v>85</v>
      </c>
      <c r="B43" s="20">
        <v>4.8703624122618545E-3</v>
      </c>
      <c r="C43" s="19" t="s">
        <v>65</v>
      </c>
      <c r="D43" s="41" t="s">
        <v>97</v>
      </c>
      <c r="E43" s="19" t="s">
        <v>98</v>
      </c>
      <c r="F43" s="19" t="s">
        <v>68</v>
      </c>
    </row>
    <row r="44" spans="1:6">
      <c r="A44" s="19" t="s">
        <v>99</v>
      </c>
      <c r="B44" s="20">
        <v>6.4102564102564103E-5</v>
      </c>
      <c r="C44" s="19" t="s">
        <v>14</v>
      </c>
      <c r="D44" s="58" t="s">
        <v>100</v>
      </c>
      <c r="E44" s="19" t="s">
        <v>101</v>
      </c>
      <c r="F44" s="19" t="s">
        <v>72</v>
      </c>
    </row>
    <row r="45" spans="1:6">
      <c r="A45" s="19"/>
      <c r="B45" s="19"/>
      <c r="C45" s="19"/>
      <c r="D45" s="19"/>
      <c r="E45" s="19"/>
      <c r="F45" s="19"/>
    </row>
    <row r="46" spans="1:6" ht="15">
      <c r="A46" s="18" t="s">
        <v>76</v>
      </c>
      <c r="B46" s="19"/>
      <c r="C46" s="19"/>
      <c r="D46" s="19"/>
      <c r="E46" s="19"/>
      <c r="F46" s="19"/>
    </row>
    <row r="47" spans="1:6">
      <c r="A47" s="19" t="s">
        <v>189</v>
      </c>
      <c r="B47" s="19">
        <v>1</v>
      </c>
      <c r="C47" s="19" t="s">
        <v>46</v>
      </c>
      <c r="D47" s="19"/>
      <c r="E47" s="19"/>
      <c r="F47" s="19"/>
    </row>
    <row r="48" spans="1:6">
      <c r="A48" s="19" t="s">
        <v>190</v>
      </c>
      <c r="B48" s="20">
        <f>0.253258845437616/1000</f>
        <v>2.5325884543761599E-4</v>
      </c>
      <c r="C48" s="19" t="s">
        <v>23</v>
      </c>
      <c r="D48" s="19"/>
      <c r="E48" s="19"/>
      <c r="F48" s="19" t="s">
        <v>104</v>
      </c>
    </row>
    <row r="49" spans="1:6">
      <c r="A49" s="19" t="s">
        <v>191</v>
      </c>
      <c r="B49" s="20">
        <v>0.2532588454376164</v>
      </c>
      <c r="C49" s="19" t="s">
        <v>14</v>
      </c>
      <c r="D49" s="19"/>
      <c r="E49" s="19"/>
      <c r="F49" s="19"/>
    </row>
    <row r="50" spans="1:6">
      <c r="A50" s="19" t="s">
        <v>192</v>
      </c>
      <c r="B50" s="20">
        <f>B49*(1-B15)</f>
        <v>7.5977653631284933E-2</v>
      </c>
      <c r="C50" s="19" t="s">
        <v>193</v>
      </c>
      <c r="D50" s="19"/>
      <c r="E50" s="19" t="s">
        <v>194</v>
      </c>
      <c r="F50" s="19"/>
    </row>
    <row r="52" spans="1:6" ht="15">
      <c r="A52" s="15" t="s">
        <v>195</v>
      </c>
      <c r="B52" s="16"/>
      <c r="C52" s="16"/>
      <c r="D52" s="16"/>
      <c r="E52" s="16"/>
      <c r="F52" s="16"/>
    </row>
    <row r="53" spans="1:6" ht="15">
      <c r="A53" s="15" t="s">
        <v>44</v>
      </c>
      <c r="B53" s="16"/>
      <c r="C53" s="16"/>
      <c r="D53" s="16"/>
      <c r="E53" s="16"/>
      <c r="F53" s="16"/>
    </row>
    <row r="54" spans="1:6" ht="15">
      <c r="A54" s="15" t="s">
        <v>196</v>
      </c>
      <c r="B54" s="16"/>
      <c r="C54" s="16" t="s">
        <v>14</v>
      </c>
      <c r="D54" s="16"/>
      <c r="E54" s="16"/>
      <c r="F54" s="16"/>
    </row>
    <row r="55" spans="1:6">
      <c r="A55" s="16" t="s">
        <v>64</v>
      </c>
      <c r="B55" s="17">
        <f>0.3*(B49+B57)</f>
        <v>0.11396648044692738</v>
      </c>
      <c r="C55" s="16" t="s">
        <v>65</v>
      </c>
      <c r="D55" s="16"/>
      <c r="E55" s="16" t="s">
        <v>197</v>
      </c>
      <c r="F55" s="16" t="s">
        <v>68</v>
      </c>
    </row>
    <row r="56" spans="1:6">
      <c r="A56" s="16" t="s">
        <v>99</v>
      </c>
      <c r="B56" s="17">
        <v>2.2222222222222223E-5</v>
      </c>
      <c r="C56" s="16" t="s">
        <v>70</v>
      </c>
      <c r="D56" s="16"/>
      <c r="E56" s="16" t="s">
        <v>198</v>
      </c>
      <c r="F56" s="16" t="s">
        <v>72</v>
      </c>
    </row>
    <row r="57" spans="1:6">
      <c r="A57" s="16" t="s">
        <v>199</v>
      </c>
      <c r="B57" s="17">
        <f>(B50-B49*0.2)/0.2</f>
        <v>0.12662942271880825</v>
      </c>
      <c r="C57" s="16" t="s">
        <v>14</v>
      </c>
      <c r="D57" s="16"/>
      <c r="E57" s="16" t="s">
        <v>200</v>
      </c>
      <c r="F57" s="16" t="s">
        <v>201</v>
      </c>
    </row>
    <row r="58" spans="1:6">
      <c r="A58" s="16"/>
      <c r="B58" s="16"/>
      <c r="C58" s="16"/>
      <c r="D58" s="16"/>
      <c r="E58" s="16"/>
      <c r="F58" s="16"/>
    </row>
    <row r="59" spans="1:6" ht="15">
      <c r="A59" s="15" t="s">
        <v>61</v>
      </c>
      <c r="B59" s="16"/>
      <c r="C59" s="16"/>
      <c r="D59" s="16"/>
      <c r="E59" s="16"/>
      <c r="F59" s="16"/>
    </row>
    <row r="60" spans="1:6">
      <c r="A60" s="16" t="s">
        <v>202</v>
      </c>
      <c r="B60" s="16">
        <v>1</v>
      </c>
      <c r="C60" s="16" t="s">
        <v>46</v>
      </c>
      <c r="D60" s="16"/>
      <c r="E60" s="16"/>
      <c r="F60" s="16"/>
    </row>
    <row r="61" spans="1:6">
      <c r="A61" s="16" t="s">
        <v>203</v>
      </c>
      <c r="B61" s="17">
        <f>B50*B5/(1-B8)</f>
        <v>0.24266332231216522</v>
      </c>
      <c r="C61" s="16" t="s">
        <v>14</v>
      </c>
      <c r="D61" s="16"/>
      <c r="E61" s="16"/>
      <c r="F61" s="16"/>
    </row>
    <row r="62" spans="1:6">
      <c r="A62" s="16" t="s">
        <v>204</v>
      </c>
      <c r="B62" s="17">
        <f>(B49+B57)-(B61+B63+B64)</f>
        <v>0.13502159388895213</v>
      </c>
      <c r="C62" s="16" t="s">
        <v>14</v>
      </c>
      <c r="D62" s="16"/>
      <c r="E62" s="16"/>
      <c r="F62" s="16"/>
    </row>
    <row r="63" spans="1:6">
      <c r="A63" s="16" t="s">
        <v>92</v>
      </c>
      <c r="B63" s="17">
        <f>B50*B7*0.95</f>
        <v>2.0931843575418998E-3</v>
      </c>
      <c r="C63" s="16" t="s">
        <v>14</v>
      </c>
      <c r="D63" s="16"/>
      <c r="E63" s="16" t="s">
        <v>205</v>
      </c>
      <c r="F63" s="16"/>
    </row>
    <row r="64" spans="1:6">
      <c r="A64" s="16" t="s">
        <v>133</v>
      </c>
      <c r="B64" s="17">
        <f>B50*B7*0.05</f>
        <v>1.1016759776536316E-4</v>
      </c>
      <c r="C64" s="16" t="s">
        <v>14</v>
      </c>
      <c r="D64" s="16"/>
      <c r="E64" s="16"/>
      <c r="F64" s="16"/>
    </row>
    <row r="66" spans="1:6" ht="15">
      <c r="A66" s="12" t="s">
        <v>206</v>
      </c>
      <c r="B66" s="11"/>
      <c r="C66" s="11"/>
      <c r="D66" s="11"/>
      <c r="E66" s="11"/>
      <c r="F66" s="11"/>
    </row>
    <row r="67" spans="1:6" ht="15">
      <c r="A67" s="12" t="s">
        <v>44</v>
      </c>
      <c r="B67" s="11"/>
      <c r="C67" s="11"/>
      <c r="D67" s="11"/>
      <c r="E67" s="11"/>
      <c r="F67" s="11"/>
    </row>
    <row r="68" spans="1:6">
      <c r="A68" s="11" t="s">
        <v>64</v>
      </c>
      <c r="B68" s="56">
        <f>(B61 - (B61 * (1 - B8) / (1 - 0.1))) * (2260 / (0.7 * 3600))</f>
        <v>0.17023238638957117</v>
      </c>
      <c r="C68" s="11" t="s">
        <v>65</v>
      </c>
      <c r="D68" s="11"/>
      <c r="E68" s="11" t="s">
        <v>207</v>
      </c>
      <c r="F68" s="11" t="s">
        <v>68</v>
      </c>
    </row>
    <row r="69" spans="1:6">
      <c r="A69" s="11" t="s">
        <v>208</v>
      </c>
      <c r="B69" s="14">
        <v>2.1367521367521368E-5</v>
      </c>
      <c r="C69" s="11" t="s">
        <v>14</v>
      </c>
      <c r="D69" s="11"/>
      <c r="E69" s="11" t="s">
        <v>209</v>
      </c>
      <c r="F69" s="11" t="s">
        <v>72</v>
      </c>
    </row>
    <row r="70" spans="1:6">
      <c r="A70" s="11"/>
      <c r="B70" s="11"/>
      <c r="C70" s="11"/>
      <c r="D70" s="11"/>
      <c r="E70" s="11"/>
      <c r="F70" s="11"/>
    </row>
    <row r="71" spans="1:6" ht="15">
      <c r="A71" s="12" t="s">
        <v>61</v>
      </c>
      <c r="B71" s="11"/>
      <c r="C71" s="11"/>
      <c r="D71" s="11"/>
      <c r="E71" s="11"/>
      <c r="F71" s="11"/>
    </row>
    <row r="72" spans="1:6">
      <c r="A72" s="11" t="s">
        <v>180</v>
      </c>
      <c r="B72" s="11">
        <v>1</v>
      </c>
      <c r="C72" s="11" t="s">
        <v>46</v>
      </c>
      <c r="D72" s="11"/>
      <c r="E72" s="11"/>
      <c r="F72" s="11"/>
    </row>
    <row r="73" spans="1:6">
      <c r="A73" s="11" t="s">
        <v>210</v>
      </c>
      <c r="B73" s="14">
        <f>(B61*(1-B8))/0.9</f>
        <v>5.2846679081315968E-2</v>
      </c>
      <c r="C73" s="11" t="s">
        <v>14</v>
      </c>
      <c r="D73" s="14"/>
      <c r="E73" s="11" t="s">
        <v>211</v>
      </c>
      <c r="F73" s="11"/>
    </row>
    <row r="74" spans="1:6">
      <c r="A74" s="11" t="s">
        <v>212</v>
      </c>
      <c r="B74" s="14">
        <f>(B61-B73)/1000</f>
        <v>1.8981664323084927E-4</v>
      </c>
      <c r="C74" s="11" t="s">
        <v>23</v>
      </c>
      <c r="D74" s="14"/>
      <c r="E74" s="11"/>
      <c r="F74" s="11" t="s">
        <v>104</v>
      </c>
    </row>
    <row r="76" spans="1:6" ht="15">
      <c r="A76" s="21" t="s">
        <v>213</v>
      </c>
      <c r="B76" s="22"/>
      <c r="C76" s="22"/>
      <c r="D76" s="21" t="s">
        <v>167</v>
      </c>
      <c r="E76" s="22"/>
      <c r="F76" s="22"/>
    </row>
    <row r="77" spans="1:6" ht="15">
      <c r="A77" s="21" t="s">
        <v>44</v>
      </c>
      <c r="B77" s="22"/>
      <c r="C77" s="22"/>
      <c r="D77" s="22"/>
      <c r="E77" s="22"/>
      <c r="F77" s="22"/>
    </row>
    <row r="78" spans="1:6">
      <c r="A78" s="22" t="s">
        <v>85</v>
      </c>
      <c r="B78" s="22">
        <v>5.2249999999999996E-3</v>
      </c>
      <c r="C78" s="22" t="s">
        <v>86</v>
      </c>
      <c r="D78" s="22"/>
      <c r="E78" s="22"/>
      <c r="F78" s="22" t="s">
        <v>68</v>
      </c>
    </row>
    <row r="79" spans="1:6">
      <c r="A79" s="22" t="s">
        <v>214</v>
      </c>
      <c r="B79" s="22">
        <v>9.3749999999999997E-3</v>
      </c>
      <c r="C79" s="22" t="s">
        <v>14</v>
      </c>
      <c r="D79" s="22"/>
      <c r="E79" s="22"/>
      <c r="F79" s="22" t="s">
        <v>215</v>
      </c>
    </row>
    <row r="80" spans="1:6">
      <c r="A80" s="22" t="s">
        <v>216</v>
      </c>
      <c r="B80" s="23">
        <v>6.9499999999999998E-10</v>
      </c>
      <c r="C80" s="22" t="s">
        <v>46</v>
      </c>
      <c r="D80" s="22"/>
      <c r="E80" s="22"/>
      <c r="F80" s="22" t="s">
        <v>217</v>
      </c>
    </row>
    <row r="81" spans="1:6">
      <c r="A81" s="22"/>
      <c r="B81" s="23"/>
      <c r="C81" s="22"/>
      <c r="D81" s="22"/>
      <c r="E81" s="22"/>
      <c r="F81" s="22"/>
    </row>
    <row r="82" spans="1:6" ht="15">
      <c r="A82" s="21" t="s">
        <v>61</v>
      </c>
      <c r="B82" s="22"/>
      <c r="C82" s="22"/>
      <c r="D82" s="22"/>
      <c r="E82" s="22"/>
      <c r="F82" s="22"/>
    </row>
    <row r="83" spans="1:6">
      <c r="A83" s="22" t="s">
        <v>218</v>
      </c>
      <c r="B83" s="22">
        <v>1</v>
      </c>
      <c r="C83" s="22" t="s">
        <v>46</v>
      </c>
      <c r="D83" s="22"/>
      <c r="E83" s="22"/>
      <c r="F83" s="22"/>
    </row>
    <row r="84" spans="1:6">
      <c r="A84" s="22" t="s">
        <v>219</v>
      </c>
      <c r="B84" s="22">
        <v>0</v>
      </c>
      <c r="C84" s="22" t="s">
        <v>50</v>
      </c>
      <c r="D84" s="22"/>
      <c r="E84" s="22" t="s">
        <v>220</v>
      </c>
      <c r="F84" s="22"/>
    </row>
    <row r="85" spans="1:6">
      <c r="A85" s="22" t="s">
        <v>221</v>
      </c>
      <c r="B85" s="22">
        <v>3.6250000000000002E-3</v>
      </c>
      <c r="C85" s="22" t="s">
        <v>14</v>
      </c>
      <c r="D85" s="22"/>
      <c r="E85" s="22" t="s">
        <v>222</v>
      </c>
      <c r="F85" s="22" t="s">
        <v>223</v>
      </c>
    </row>
    <row r="86" spans="1:6">
      <c r="A86" s="22" t="s">
        <v>224</v>
      </c>
      <c r="B86" s="23">
        <v>6.2500000000000005E-7</v>
      </c>
      <c r="C86" s="22" t="s">
        <v>14</v>
      </c>
      <c r="D86" s="22"/>
      <c r="E86" s="22" t="s">
        <v>225</v>
      </c>
      <c r="F86" s="22"/>
    </row>
    <row r="87" spans="1:6">
      <c r="A87" s="22" t="s">
        <v>226</v>
      </c>
      <c r="B87" s="23">
        <v>1.3375E-5</v>
      </c>
      <c r="C87" s="22" t="s">
        <v>14</v>
      </c>
      <c r="D87" s="22"/>
      <c r="E87" s="22"/>
      <c r="F87" s="22"/>
    </row>
    <row r="88" spans="1:6">
      <c r="A88" s="22" t="s">
        <v>227</v>
      </c>
      <c r="B88" s="23">
        <v>1.9749999999999999E-9</v>
      </c>
      <c r="C88" s="22" t="s">
        <v>14</v>
      </c>
      <c r="D88" s="22"/>
      <c r="E88" s="22"/>
      <c r="F88" s="22"/>
    </row>
    <row r="89" spans="1:6">
      <c r="A89" s="22" t="s">
        <v>228</v>
      </c>
      <c r="B89" s="23">
        <v>1.575E-7</v>
      </c>
      <c r="C89" s="22" t="s">
        <v>14</v>
      </c>
      <c r="D89" s="22"/>
      <c r="E89" s="22"/>
      <c r="F89" s="22"/>
    </row>
    <row r="90" spans="1:6">
      <c r="A90" s="22" t="s">
        <v>229</v>
      </c>
      <c r="B90" s="23">
        <v>1.575E-9</v>
      </c>
      <c r="C90" s="22" t="s">
        <v>14</v>
      </c>
      <c r="D90" s="22"/>
      <c r="E90" s="22"/>
      <c r="F90" s="22"/>
    </row>
    <row r="91" spans="1:6">
      <c r="A91" s="22" t="s">
        <v>230</v>
      </c>
      <c r="B91" s="23">
        <v>5.9250000000000004E-7</v>
      </c>
      <c r="C91" s="22" t="s">
        <v>14</v>
      </c>
      <c r="D91" s="22"/>
      <c r="E91" s="22"/>
      <c r="F91" s="22"/>
    </row>
    <row r="92" spans="1:6">
      <c r="A92" s="22" t="s">
        <v>231</v>
      </c>
      <c r="B92" s="23">
        <v>1.185E-8</v>
      </c>
      <c r="C92" s="22" t="s">
        <v>14</v>
      </c>
      <c r="D92" s="22"/>
      <c r="E92" s="22"/>
      <c r="F92" s="22"/>
    </row>
    <row r="93" spans="1:6">
      <c r="A93" s="22" t="s">
        <v>232</v>
      </c>
      <c r="B93" s="23">
        <v>1.9749999999999999E-9</v>
      </c>
      <c r="C93" s="22" t="s">
        <v>14</v>
      </c>
      <c r="D93" s="22"/>
      <c r="E93" s="22"/>
      <c r="F93" s="22"/>
    </row>
    <row r="94" spans="1:6">
      <c r="A94" s="22" t="s">
        <v>233</v>
      </c>
      <c r="B94" s="23">
        <v>1.575E-6</v>
      </c>
      <c r="C94" s="22" t="s">
        <v>14</v>
      </c>
      <c r="D94" s="22"/>
      <c r="E94" s="22"/>
      <c r="F94" s="22"/>
    </row>
    <row r="95" spans="1:6">
      <c r="A95" s="22" t="s">
        <v>92</v>
      </c>
      <c r="B95" s="22">
        <v>0.114375</v>
      </c>
      <c r="C95" s="22" t="s">
        <v>14</v>
      </c>
      <c r="D95" s="22"/>
      <c r="E95" s="22"/>
      <c r="F95" s="22"/>
    </row>
    <row r="96" spans="1:6">
      <c r="A96" s="22" t="s">
        <v>133</v>
      </c>
      <c r="B96" s="23">
        <v>1.25E-4</v>
      </c>
      <c r="C96" s="22" t="s">
        <v>14</v>
      </c>
      <c r="D96" s="22"/>
      <c r="E96" s="22"/>
      <c r="F96" s="22"/>
    </row>
    <row r="97" spans="1:6">
      <c r="A97" s="22" t="s">
        <v>234</v>
      </c>
      <c r="B97" s="23">
        <v>2.8124999999999999E-8</v>
      </c>
      <c r="C97" s="22" t="s">
        <v>14</v>
      </c>
      <c r="D97" s="22"/>
      <c r="E97" s="22"/>
      <c r="F97" s="22"/>
    </row>
    <row r="98" spans="1:6">
      <c r="A98" s="22" t="s">
        <v>235</v>
      </c>
      <c r="B98" s="23">
        <v>3.4750000000000001E-9</v>
      </c>
      <c r="C98" s="22" t="s">
        <v>14</v>
      </c>
      <c r="D98" s="22"/>
      <c r="E98" s="22"/>
      <c r="F98" s="22"/>
    </row>
    <row r="99" spans="1:6">
      <c r="A99" s="22" t="s">
        <v>236</v>
      </c>
      <c r="B99" s="23">
        <v>3.9499999999999998E-9</v>
      </c>
      <c r="C99" s="22" t="s">
        <v>14</v>
      </c>
      <c r="D99" s="22"/>
      <c r="E99" s="22"/>
      <c r="F99" s="22"/>
    </row>
    <row r="100" spans="1:6">
      <c r="A100" s="22" t="s">
        <v>237</v>
      </c>
      <c r="B100" s="23">
        <v>2.0750000000000001E-8</v>
      </c>
      <c r="C100" s="22" t="s">
        <v>14</v>
      </c>
      <c r="D100" s="22"/>
      <c r="E100" s="22"/>
      <c r="F100" s="22"/>
    </row>
    <row r="101" spans="1:6">
      <c r="A101" s="22" t="s">
        <v>93</v>
      </c>
      <c r="B101" s="23">
        <v>1.2500000000000001E-6</v>
      </c>
      <c r="C101" s="22" t="s">
        <v>14</v>
      </c>
      <c r="D101" s="22"/>
      <c r="E101" s="22"/>
      <c r="F101" s="22"/>
    </row>
    <row r="102" spans="1:6">
      <c r="A102" s="22" t="s">
        <v>134</v>
      </c>
      <c r="B102" s="23">
        <v>2.5000000000000001E-14</v>
      </c>
      <c r="C102" s="22" t="s">
        <v>14</v>
      </c>
      <c r="D102" s="22"/>
      <c r="E102" s="22"/>
      <c r="F102" s="22"/>
    </row>
    <row r="103" spans="1:6">
      <c r="A103" s="22" t="s">
        <v>135</v>
      </c>
      <c r="B103" s="23">
        <v>9.9999999999999995E-8</v>
      </c>
      <c r="C103" s="22" t="s">
        <v>14</v>
      </c>
      <c r="D103" s="22"/>
      <c r="E103" s="22"/>
      <c r="F103" s="22"/>
    </row>
    <row r="104" spans="1:6">
      <c r="A104" s="22" t="s">
        <v>238</v>
      </c>
      <c r="B104" s="23">
        <v>6.2500000000000005E-7</v>
      </c>
      <c r="C104" s="22" t="s">
        <v>14</v>
      </c>
      <c r="D104" s="22"/>
      <c r="E104" s="22"/>
      <c r="F104" s="22"/>
    </row>
    <row r="105" spans="1:6">
      <c r="A105" s="22" t="s">
        <v>239</v>
      </c>
      <c r="B105" s="23">
        <v>6.2500000000000005E-7</v>
      </c>
      <c r="C105" s="22" t="s">
        <v>14</v>
      </c>
      <c r="D105" s="22"/>
      <c r="E105" s="22"/>
      <c r="F105" s="22"/>
    </row>
    <row r="106" spans="1:6">
      <c r="A106" s="22" t="s">
        <v>240</v>
      </c>
      <c r="B106" s="23">
        <v>5.0624999999999997E-5</v>
      </c>
      <c r="C106" s="22" t="s">
        <v>14</v>
      </c>
      <c r="D106" s="22"/>
      <c r="E106" s="22"/>
      <c r="F106" s="22"/>
    </row>
    <row r="107" spans="1:6">
      <c r="A107" s="22" t="s">
        <v>241</v>
      </c>
      <c r="B107" s="23">
        <v>1.575E-6</v>
      </c>
      <c r="C107" s="22" t="s">
        <v>14</v>
      </c>
      <c r="D107" s="22"/>
      <c r="E107" s="22"/>
      <c r="F107" s="22"/>
    </row>
    <row r="108" spans="1:6">
      <c r="A108" s="22" t="s">
        <v>242</v>
      </c>
      <c r="B108" s="23">
        <v>1.425E-8</v>
      </c>
      <c r="C108" s="22" t="s">
        <v>14</v>
      </c>
      <c r="D108" s="22"/>
      <c r="E108" s="22"/>
      <c r="F108" s="22"/>
    </row>
    <row r="109" spans="1:6">
      <c r="A109" s="22" t="s">
        <v>243</v>
      </c>
      <c r="B109" s="23">
        <v>5.5249999999999996E-6</v>
      </c>
      <c r="C109" s="22" t="s">
        <v>14</v>
      </c>
      <c r="D109" s="22"/>
      <c r="E109" s="22"/>
      <c r="F109" s="22"/>
    </row>
    <row r="110" spans="1:6">
      <c r="A110" s="22" t="s">
        <v>244</v>
      </c>
      <c r="B110" s="23">
        <v>4.7375E-6</v>
      </c>
      <c r="C110" s="22" t="s">
        <v>14</v>
      </c>
      <c r="D110" s="22"/>
      <c r="E110" s="22"/>
      <c r="F110" s="22"/>
    </row>
    <row r="111" spans="1:6">
      <c r="A111" s="22" t="s">
        <v>245</v>
      </c>
      <c r="B111" s="23">
        <v>2.7625000000000001E-8</v>
      </c>
      <c r="C111" s="22" t="s">
        <v>14</v>
      </c>
      <c r="D111" s="22"/>
      <c r="E111" s="22"/>
      <c r="F111" s="22"/>
    </row>
    <row r="112" spans="1:6">
      <c r="A112" s="22" t="s">
        <v>95</v>
      </c>
      <c r="B112" s="23">
        <v>1.2500000000000001E-5</v>
      </c>
      <c r="C112" s="22" t="s">
        <v>14</v>
      </c>
      <c r="D112" s="22"/>
      <c r="E112" s="22"/>
      <c r="F112" s="22"/>
    </row>
    <row r="113" spans="1:6">
      <c r="A113" s="22" t="s">
        <v>246</v>
      </c>
      <c r="B113" s="23">
        <v>5.9250000000000001E-9</v>
      </c>
      <c r="C113" s="22" t="s">
        <v>14</v>
      </c>
      <c r="D113" s="22"/>
      <c r="E113" s="22"/>
      <c r="F113" s="22"/>
    </row>
    <row r="114" spans="1:6">
      <c r="A114" s="22" t="s">
        <v>247</v>
      </c>
      <c r="B114" s="23">
        <v>2.3750000000000001E-8</v>
      </c>
      <c r="C114" s="22" t="s">
        <v>14</v>
      </c>
      <c r="D114" s="22"/>
      <c r="E114" s="22"/>
      <c r="F114" s="22"/>
    </row>
    <row r="115" spans="1:6">
      <c r="A115" s="22" t="s">
        <v>139</v>
      </c>
      <c r="B115" s="23">
        <v>2.5000000000000001E-4</v>
      </c>
      <c r="C115" s="22" t="s">
        <v>14</v>
      </c>
      <c r="D115" s="22"/>
      <c r="E115" s="22"/>
      <c r="F115" s="22"/>
    </row>
    <row r="116" spans="1:6">
      <c r="A116" s="22" t="s">
        <v>141</v>
      </c>
      <c r="B116" s="23">
        <v>2.5000000000000001E-5</v>
      </c>
      <c r="C116" s="22" t="s">
        <v>14</v>
      </c>
      <c r="D116" s="22"/>
      <c r="E116" s="22"/>
      <c r="F116" s="22"/>
    </row>
    <row r="117" spans="1:6">
      <c r="A117" s="22" t="s">
        <v>248</v>
      </c>
      <c r="B117" s="23">
        <v>1.2500000000000001E-5</v>
      </c>
      <c r="C117" s="22" t="s">
        <v>14</v>
      </c>
      <c r="D117" s="22"/>
      <c r="E117" s="22"/>
      <c r="F117" s="22"/>
    </row>
    <row r="118" spans="1:6">
      <c r="A118" s="22" t="s">
        <v>249</v>
      </c>
      <c r="B118" s="23">
        <v>2.5000000000000001E-5</v>
      </c>
      <c r="C118" s="22" t="s">
        <v>14</v>
      </c>
      <c r="D118" s="22"/>
      <c r="E118" s="22"/>
      <c r="F118" s="22"/>
    </row>
    <row r="119" spans="1:6">
      <c r="A119" s="22" t="s">
        <v>250</v>
      </c>
      <c r="B119" s="23">
        <v>7.9000000000000006E-8</v>
      </c>
      <c r="C119" s="22" t="s">
        <v>14</v>
      </c>
      <c r="D119" s="22"/>
      <c r="E119" s="22"/>
      <c r="F119" s="22"/>
    </row>
    <row r="120" spans="1:6">
      <c r="A120" s="22" t="s">
        <v>251</v>
      </c>
      <c r="B120" s="23">
        <v>1.575E-6</v>
      </c>
      <c r="C120" s="22" t="s">
        <v>14</v>
      </c>
      <c r="D120" s="22"/>
      <c r="E120" s="22"/>
      <c r="F120" s="22"/>
    </row>
    <row r="121" spans="1:6">
      <c r="A121" s="22" t="s">
        <v>252</v>
      </c>
      <c r="B121" s="23">
        <v>1.6875E-5</v>
      </c>
      <c r="C121" s="22" t="s">
        <v>253</v>
      </c>
      <c r="D121" s="22"/>
      <c r="E121" s="22"/>
      <c r="F121" s="22"/>
    </row>
    <row r="122" spans="1:6">
      <c r="A122" s="22" t="s">
        <v>254</v>
      </c>
      <c r="B122" s="23">
        <v>1.575E-9</v>
      </c>
      <c r="C122" s="22" t="s">
        <v>14</v>
      </c>
      <c r="D122" s="22"/>
      <c r="E122" s="22"/>
      <c r="F122" s="22"/>
    </row>
    <row r="123" spans="1:6">
      <c r="A123" s="22" t="s">
        <v>255</v>
      </c>
      <c r="B123" s="23">
        <v>1.185E-8</v>
      </c>
      <c r="C123" s="22" t="s">
        <v>14</v>
      </c>
      <c r="D123" s="22"/>
      <c r="E123" s="22"/>
      <c r="F123" s="22"/>
    </row>
    <row r="124" spans="1:6">
      <c r="A124" s="22" t="s">
        <v>256</v>
      </c>
      <c r="B124" s="23">
        <v>1.9749999999999999E-5</v>
      </c>
      <c r="C124" s="22" t="s">
        <v>14</v>
      </c>
      <c r="D124" s="22"/>
      <c r="E124" s="22"/>
      <c r="F124" s="22"/>
    </row>
    <row r="125" spans="1:6">
      <c r="A125" s="22" t="s">
        <v>257</v>
      </c>
      <c r="B125" s="23">
        <v>7.8999999999999995E-7</v>
      </c>
      <c r="C125" s="22" t="s">
        <v>14</v>
      </c>
      <c r="D125" s="22"/>
      <c r="E125" s="22"/>
      <c r="F125" s="22"/>
    </row>
    <row r="126" spans="1:6">
      <c r="A126" s="22" t="s">
        <v>258</v>
      </c>
      <c r="B126" s="23">
        <v>2.375E-7</v>
      </c>
      <c r="C126" s="22" t="s">
        <v>14</v>
      </c>
      <c r="D126" s="22"/>
      <c r="E126" s="22"/>
      <c r="F126" s="22"/>
    </row>
    <row r="127" spans="1:6">
      <c r="A127" s="38" t="s">
        <v>120</v>
      </c>
      <c r="B127" s="51">
        <v>4.4099999999999999E-4</v>
      </c>
      <c r="C127" s="38" t="s">
        <v>14</v>
      </c>
      <c r="D127" s="22"/>
      <c r="E127" s="22"/>
      <c r="F127" s="22"/>
    </row>
    <row r="128" spans="1:6">
      <c r="A128" s="22" t="s">
        <v>259</v>
      </c>
      <c r="B128" s="23">
        <v>1.9749999999999999E-9</v>
      </c>
      <c r="C128" s="22" t="s">
        <v>14</v>
      </c>
      <c r="D128" s="22"/>
      <c r="E128" s="22"/>
      <c r="F128" s="22"/>
    </row>
    <row r="129" spans="1:6">
      <c r="A129" s="22" t="s">
        <v>260</v>
      </c>
      <c r="B129" s="23">
        <v>7.8999999999999996E-10</v>
      </c>
      <c r="C129" s="22" t="s">
        <v>14</v>
      </c>
      <c r="D129" s="22"/>
      <c r="E129" s="22"/>
      <c r="F129" s="22"/>
    </row>
    <row r="130" spans="1:6">
      <c r="A130" s="22" t="s">
        <v>261</v>
      </c>
      <c r="B130" s="23">
        <v>4.7375000000000002E-7</v>
      </c>
      <c r="C130" s="22" t="s">
        <v>14</v>
      </c>
      <c r="D130" s="22"/>
      <c r="E130" s="22"/>
      <c r="F130" s="22"/>
    </row>
    <row r="131" spans="1:6">
      <c r="A131" s="22" t="s">
        <v>262</v>
      </c>
      <c r="B131" s="23">
        <v>4.7374999999999999E-8</v>
      </c>
      <c r="C131" s="22" t="s">
        <v>14</v>
      </c>
      <c r="D131" s="22"/>
      <c r="E131" s="22"/>
      <c r="F131" s="22"/>
    </row>
    <row r="132" spans="1:6">
      <c r="A132" s="22" t="s">
        <v>263</v>
      </c>
      <c r="B132" s="23">
        <v>1.125E-6</v>
      </c>
      <c r="C132" s="22" t="s">
        <v>23</v>
      </c>
      <c r="D132" s="22"/>
      <c r="E132" s="22"/>
      <c r="F132" s="22"/>
    </row>
    <row r="133" spans="1:6">
      <c r="A133" s="22" t="s">
        <v>263</v>
      </c>
      <c r="B133" s="23">
        <v>6.3749999999999999E-6</v>
      </c>
      <c r="C133" s="22" t="s">
        <v>23</v>
      </c>
      <c r="D133" s="22"/>
      <c r="E133" s="22"/>
      <c r="F133" s="22"/>
    </row>
    <row r="134" spans="1:6">
      <c r="A134" s="22" t="s">
        <v>264</v>
      </c>
      <c r="B134" s="23">
        <v>3.9499999999999998E-9</v>
      </c>
      <c r="C134" s="22" t="s">
        <v>14</v>
      </c>
      <c r="D134" s="22"/>
      <c r="E134" s="22"/>
      <c r="F134" s="22"/>
    </row>
    <row r="135" spans="1:6">
      <c r="A135" s="22" t="s">
        <v>265</v>
      </c>
      <c r="B135" s="23">
        <v>2.1500000000000002E-6</v>
      </c>
      <c r="C135" s="22" t="s">
        <v>14</v>
      </c>
      <c r="D135" s="22"/>
      <c r="E135" s="22"/>
      <c r="F135" s="22"/>
    </row>
    <row r="136" spans="1:6">
      <c r="A136" s="22" t="s">
        <v>266</v>
      </c>
      <c r="B136" s="23">
        <v>1.875E-6</v>
      </c>
      <c r="C136" s="22" t="s">
        <v>14</v>
      </c>
      <c r="D136" s="22"/>
      <c r="E136" s="22"/>
      <c r="F136" s="22"/>
    </row>
    <row r="137" spans="1:6">
      <c r="A137" s="22" t="s">
        <v>267</v>
      </c>
      <c r="B137" s="23">
        <v>3.7500000000000001E-6</v>
      </c>
      <c r="C137" s="22" t="s">
        <v>14</v>
      </c>
      <c r="D137" s="22"/>
      <c r="E137" s="22"/>
      <c r="F137" s="22"/>
    </row>
    <row r="138" spans="1:6">
      <c r="A138" s="22" t="s">
        <v>143</v>
      </c>
      <c r="B138" s="23">
        <v>1.2500000000000001E-6</v>
      </c>
      <c r="C138" s="22" t="s">
        <v>14</v>
      </c>
      <c r="D138" s="22"/>
      <c r="E138" s="22"/>
      <c r="F138" s="22"/>
    </row>
    <row r="139" spans="1:6">
      <c r="A139" s="22" t="s">
        <v>268</v>
      </c>
      <c r="B139" s="23">
        <v>6.2500000000000005E-7</v>
      </c>
      <c r="C139" s="22" t="s">
        <v>14</v>
      </c>
      <c r="D139" s="22"/>
      <c r="E139" s="22"/>
      <c r="F139" s="22"/>
    </row>
    <row r="140" spans="1:6">
      <c r="B140" s="3"/>
    </row>
    <row r="141" spans="1:6" ht="15">
      <c r="A141" s="15" t="s">
        <v>269</v>
      </c>
      <c r="B141" s="16"/>
      <c r="C141" s="16"/>
      <c r="D141" s="16"/>
      <c r="E141" s="16"/>
      <c r="F141" s="16"/>
    </row>
    <row r="142" spans="1:6" ht="15">
      <c r="A142" s="15" t="s">
        <v>44</v>
      </c>
      <c r="B142" s="16"/>
      <c r="C142" s="16"/>
      <c r="D142" s="16"/>
      <c r="E142" s="16"/>
      <c r="F142" s="16"/>
    </row>
    <row r="143" spans="1:6">
      <c r="A143" s="16" t="s">
        <v>85</v>
      </c>
      <c r="B143" s="16">
        <v>5.2249999999999996E-3</v>
      </c>
      <c r="C143" s="16" t="s">
        <v>86</v>
      </c>
      <c r="D143" s="16"/>
      <c r="E143" s="16"/>
      <c r="F143" s="16" t="s">
        <v>68</v>
      </c>
    </row>
    <row r="144" spans="1:6">
      <c r="A144" s="16" t="s">
        <v>270</v>
      </c>
      <c r="B144" s="16">
        <v>4.3249999999999997E-2</v>
      </c>
      <c r="C144" s="16" t="s">
        <v>14</v>
      </c>
      <c r="D144" s="16"/>
      <c r="E144" s="16"/>
      <c r="F144" s="16" t="s">
        <v>271</v>
      </c>
    </row>
    <row r="145" spans="1:6">
      <c r="A145" s="16" t="s">
        <v>216</v>
      </c>
      <c r="B145" s="17">
        <v>6.9499999999999998E-10</v>
      </c>
      <c r="C145" s="16" t="s">
        <v>46</v>
      </c>
      <c r="D145" s="16"/>
      <c r="E145" s="16"/>
      <c r="F145" s="16" t="s">
        <v>217</v>
      </c>
    </row>
    <row r="146" spans="1:6">
      <c r="A146" s="16" t="s">
        <v>214</v>
      </c>
      <c r="B146" s="16">
        <v>9.3749999999999997E-3</v>
      </c>
      <c r="C146" s="16" t="s">
        <v>14</v>
      </c>
      <c r="D146" s="16"/>
      <c r="E146" s="16"/>
      <c r="F146" s="16" t="s">
        <v>215</v>
      </c>
    </row>
    <row r="147" spans="1:6">
      <c r="A147" s="16"/>
      <c r="B147" s="16"/>
      <c r="C147" s="16"/>
      <c r="D147" s="16"/>
      <c r="E147" s="16"/>
      <c r="F147" s="16"/>
    </row>
    <row r="148" spans="1:6" ht="15">
      <c r="A148" s="15" t="s">
        <v>61</v>
      </c>
      <c r="B148" s="16"/>
      <c r="C148" s="16"/>
      <c r="D148" s="16"/>
      <c r="E148" s="16"/>
      <c r="F148" s="16"/>
    </row>
    <row r="149" spans="1:6">
      <c r="A149" s="16" t="s">
        <v>219</v>
      </c>
      <c r="B149" s="16">
        <v>1</v>
      </c>
      <c r="C149" s="16" t="s">
        <v>50</v>
      </c>
      <c r="D149" s="16"/>
      <c r="E149" s="16"/>
      <c r="F149" s="16"/>
    </row>
    <row r="150" spans="1:6">
      <c r="A150" s="16" t="s">
        <v>221</v>
      </c>
      <c r="B150" s="16">
        <v>3.6250000000000002E-3</v>
      </c>
      <c r="C150" s="16" t="s">
        <v>14</v>
      </c>
      <c r="D150" s="16"/>
      <c r="E150" s="16"/>
      <c r="F150" s="16" t="s">
        <v>223</v>
      </c>
    </row>
    <row r="151" spans="1:6">
      <c r="A151" s="16" t="s">
        <v>224</v>
      </c>
      <c r="B151" s="17">
        <v>6.2500000000000005E-7</v>
      </c>
      <c r="C151" s="16" t="s">
        <v>14</v>
      </c>
      <c r="D151" s="16"/>
      <c r="E151" s="16"/>
      <c r="F151" s="16"/>
    </row>
    <row r="152" spans="1:6">
      <c r="A152" s="16" t="s">
        <v>226</v>
      </c>
      <c r="B152" s="17">
        <v>1.3375E-5</v>
      </c>
      <c r="C152" s="16" t="s">
        <v>14</v>
      </c>
      <c r="D152" s="16"/>
      <c r="E152" s="16"/>
      <c r="F152" s="16"/>
    </row>
    <row r="153" spans="1:6">
      <c r="A153" s="16" t="s">
        <v>227</v>
      </c>
      <c r="B153" s="17">
        <v>1.9749999999999999E-9</v>
      </c>
      <c r="C153" s="16" t="s">
        <v>14</v>
      </c>
      <c r="D153" s="16"/>
      <c r="E153" s="16"/>
      <c r="F153" s="16"/>
    </row>
    <row r="154" spans="1:6">
      <c r="A154" s="16" t="s">
        <v>272</v>
      </c>
      <c r="B154" s="17">
        <v>3.1625E-8</v>
      </c>
      <c r="C154" s="16" t="s">
        <v>14</v>
      </c>
      <c r="D154" s="16"/>
      <c r="E154" s="16"/>
      <c r="F154" s="16"/>
    </row>
    <row r="155" spans="1:6">
      <c r="A155" s="16" t="s">
        <v>228</v>
      </c>
      <c r="B155" s="17">
        <v>1.575E-7</v>
      </c>
      <c r="C155" s="16" t="s">
        <v>14</v>
      </c>
      <c r="D155" s="16"/>
      <c r="E155" s="16"/>
      <c r="F155" s="16"/>
    </row>
    <row r="156" spans="1:6">
      <c r="A156" s="16" t="s">
        <v>130</v>
      </c>
      <c r="B156" s="17">
        <v>6.2500000000000005E-7</v>
      </c>
      <c r="C156" s="16" t="s">
        <v>14</v>
      </c>
      <c r="D156" s="16"/>
      <c r="E156" s="16"/>
      <c r="F156" s="16"/>
    </row>
    <row r="157" spans="1:6">
      <c r="A157" s="16" t="s">
        <v>131</v>
      </c>
      <c r="B157" s="17">
        <v>1.25E-11</v>
      </c>
      <c r="C157" s="16" t="s">
        <v>14</v>
      </c>
      <c r="D157" s="16"/>
      <c r="E157" s="16"/>
      <c r="F157" s="16"/>
    </row>
    <row r="158" spans="1:6">
      <c r="A158" s="16" t="s">
        <v>229</v>
      </c>
      <c r="B158" s="17">
        <v>1.575E-9</v>
      </c>
      <c r="C158" s="16" t="s">
        <v>14</v>
      </c>
      <c r="D158" s="16"/>
      <c r="E158" s="16"/>
      <c r="F158" s="16"/>
    </row>
    <row r="159" spans="1:6">
      <c r="A159" s="16" t="s">
        <v>230</v>
      </c>
      <c r="B159" s="17">
        <v>5.9250000000000004E-7</v>
      </c>
      <c r="C159" s="16" t="s">
        <v>14</v>
      </c>
      <c r="D159" s="16"/>
      <c r="E159" s="16"/>
      <c r="F159" s="16"/>
    </row>
    <row r="160" spans="1:6">
      <c r="A160" s="16" t="s">
        <v>231</v>
      </c>
      <c r="B160" s="17">
        <v>1.185E-8</v>
      </c>
      <c r="C160" s="16" t="s">
        <v>14</v>
      </c>
      <c r="D160" s="16"/>
      <c r="E160" s="16"/>
      <c r="F160" s="16"/>
    </row>
    <row r="161" spans="1:6">
      <c r="A161" s="16" t="s">
        <v>232</v>
      </c>
      <c r="B161" s="17">
        <v>1.9749999999999999E-9</v>
      </c>
      <c r="C161" s="16" t="s">
        <v>14</v>
      </c>
      <c r="D161" s="16"/>
      <c r="E161" s="16"/>
      <c r="F161" s="16"/>
    </row>
    <row r="162" spans="1:6">
      <c r="A162" s="16" t="s">
        <v>233</v>
      </c>
      <c r="B162" s="17">
        <v>1.575E-6</v>
      </c>
      <c r="C162" s="16" t="s">
        <v>14</v>
      </c>
      <c r="D162" s="16"/>
      <c r="E162" s="16"/>
      <c r="F162" s="16"/>
    </row>
    <row r="163" spans="1:6">
      <c r="A163" s="16" t="s">
        <v>153</v>
      </c>
      <c r="B163" s="16">
        <v>0.114375</v>
      </c>
      <c r="C163" s="16" t="s">
        <v>14</v>
      </c>
      <c r="D163" s="16"/>
      <c r="E163" s="16"/>
      <c r="F163" s="16"/>
    </row>
    <row r="164" spans="1:6">
      <c r="A164" s="16" t="s">
        <v>154</v>
      </c>
      <c r="B164" s="17">
        <v>1.25E-4</v>
      </c>
      <c r="C164" s="16" t="s">
        <v>14</v>
      </c>
      <c r="D164" s="16"/>
      <c r="E164" s="16"/>
      <c r="F164" s="16"/>
    </row>
    <row r="165" spans="1:6">
      <c r="A165" s="16" t="s">
        <v>234</v>
      </c>
      <c r="B165" s="17">
        <v>2.8124999999999999E-8</v>
      </c>
      <c r="C165" s="16" t="s">
        <v>14</v>
      </c>
      <c r="D165" s="16"/>
      <c r="E165" s="16"/>
      <c r="F165" s="16"/>
    </row>
    <row r="166" spans="1:6">
      <c r="A166" s="16" t="s">
        <v>235</v>
      </c>
      <c r="B166" s="17">
        <v>3.4750000000000001E-9</v>
      </c>
      <c r="C166" s="16" t="s">
        <v>14</v>
      </c>
      <c r="D166" s="16"/>
      <c r="E166" s="16"/>
      <c r="F166" s="16"/>
    </row>
    <row r="167" spans="1:6">
      <c r="A167" s="16" t="s">
        <v>236</v>
      </c>
      <c r="B167" s="17">
        <v>3.9499999999999998E-9</v>
      </c>
      <c r="C167" s="16" t="s">
        <v>14</v>
      </c>
      <c r="D167" s="16"/>
      <c r="E167" s="16"/>
      <c r="F167" s="16"/>
    </row>
    <row r="168" spans="1:6">
      <c r="A168" s="16" t="s">
        <v>237</v>
      </c>
      <c r="B168" s="17">
        <v>2.0750000000000001E-8</v>
      </c>
      <c r="C168" s="16" t="s">
        <v>14</v>
      </c>
      <c r="D168" s="16"/>
      <c r="E168" s="16"/>
      <c r="F168" s="16"/>
    </row>
    <row r="169" spans="1:6">
      <c r="A169" s="16" t="s">
        <v>93</v>
      </c>
      <c r="B169" s="17">
        <v>1.2500000000000001E-6</v>
      </c>
      <c r="C169" s="16" t="s">
        <v>14</v>
      </c>
      <c r="D169" s="16"/>
      <c r="E169" s="16"/>
      <c r="F169" s="16"/>
    </row>
    <row r="170" spans="1:6">
      <c r="A170" s="16" t="s">
        <v>134</v>
      </c>
      <c r="B170" s="17">
        <v>2.5000000000000001E-14</v>
      </c>
      <c r="C170" s="16" t="s">
        <v>14</v>
      </c>
      <c r="D170" s="16"/>
      <c r="E170" s="16"/>
      <c r="F170" s="16"/>
    </row>
    <row r="171" spans="1:6">
      <c r="A171" s="16" t="s">
        <v>266</v>
      </c>
      <c r="B171" s="17">
        <v>1.875E-6</v>
      </c>
      <c r="C171" s="16" t="s">
        <v>14</v>
      </c>
      <c r="D171" s="16"/>
      <c r="E171" s="16"/>
      <c r="F171" s="16"/>
    </row>
    <row r="172" spans="1:6">
      <c r="A172" s="16" t="s">
        <v>267</v>
      </c>
      <c r="B172" s="17">
        <v>3.7500000000000001E-6</v>
      </c>
      <c r="C172" s="16" t="s">
        <v>14</v>
      </c>
      <c r="D172" s="16"/>
      <c r="E172" s="16"/>
      <c r="F172" s="16"/>
    </row>
    <row r="173" spans="1:6">
      <c r="A173" s="16" t="s">
        <v>135</v>
      </c>
      <c r="B173" s="17">
        <v>9.9999999999999995E-8</v>
      </c>
      <c r="C173" s="16" t="s">
        <v>14</v>
      </c>
      <c r="D173" s="16"/>
      <c r="E173" s="16"/>
      <c r="F173" s="16"/>
    </row>
    <row r="174" spans="1:6">
      <c r="A174" s="16" t="s">
        <v>238</v>
      </c>
      <c r="B174" s="17">
        <v>6.2500000000000005E-7</v>
      </c>
      <c r="C174" s="16" t="s">
        <v>14</v>
      </c>
      <c r="D174" s="16"/>
      <c r="E174" s="16"/>
      <c r="F174" s="16"/>
    </row>
    <row r="175" spans="1:6">
      <c r="A175" s="16" t="s">
        <v>239</v>
      </c>
      <c r="B175" s="17">
        <v>6.2500000000000005E-7</v>
      </c>
      <c r="C175" s="16" t="s">
        <v>14</v>
      </c>
      <c r="D175" s="16"/>
      <c r="E175" s="16"/>
      <c r="F175" s="16"/>
    </row>
    <row r="176" spans="1:6">
      <c r="A176" s="16" t="s">
        <v>240</v>
      </c>
      <c r="B176" s="17">
        <v>5.0624999999999997E-5</v>
      </c>
      <c r="C176" s="16" t="s">
        <v>14</v>
      </c>
      <c r="D176" s="16"/>
      <c r="E176" s="16"/>
      <c r="F176" s="16"/>
    </row>
    <row r="177" spans="1:6">
      <c r="A177" s="16" t="s">
        <v>241</v>
      </c>
      <c r="B177" s="17">
        <v>1.575E-6</v>
      </c>
      <c r="C177" s="16" t="s">
        <v>14</v>
      </c>
      <c r="D177" s="16"/>
      <c r="E177" s="16"/>
      <c r="F177" s="16"/>
    </row>
    <row r="178" spans="1:6">
      <c r="A178" s="16" t="s">
        <v>242</v>
      </c>
      <c r="B178" s="17">
        <v>1.425E-8</v>
      </c>
      <c r="C178" s="16" t="s">
        <v>14</v>
      </c>
      <c r="D178" s="16"/>
      <c r="E178" s="16"/>
      <c r="F178" s="16"/>
    </row>
    <row r="179" spans="1:6">
      <c r="A179" s="16" t="s">
        <v>243</v>
      </c>
      <c r="B179" s="17">
        <v>5.5249999999999996E-6</v>
      </c>
      <c r="C179" s="16" t="s">
        <v>14</v>
      </c>
      <c r="D179" s="16"/>
      <c r="E179" s="16"/>
      <c r="F179" s="16"/>
    </row>
    <row r="180" spans="1:6">
      <c r="A180" s="16" t="s">
        <v>273</v>
      </c>
      <c r="B180" s="17">
        <v>9.4749999999999998E-8</v>
      </c>
      <c r="C180" s="16" t="s">
        <v>14</v>
      </c>
      <c r="D180" s="16"/>
      <c r="E180" s="16"/>
      <c r="F180" s="16"/>
    </row>
    <row r="181" spans="1:6">
      <c r="A181" s="16" t="s">
        <v>274</v>
      </c>
      <c r="B181" s="17">
        <v>5.8125000000000003E-5</v>
      </c>
      <c r="C181" s="16" t="s">
        <v>253</v>
      </c>
      <c r="D181" s="16"/>
      <c r="E181" s="16"/>
      <c r="F181" s="16"/>
    </row>
    <row r="182" spans="1:6">
      <c r="A182" s="16" t="s">
        <v>244</v>
      </c>
      <c r="B182" s="17">
        <v>4.7375E-6</v>
      </c>
      <c r="C182" s="16" t="s">
        <v>14</v>
      </c>
      <c r="D182" s="16"/>
      <c r="E182" s="16"/>
      <c r="F182" s="16"/>
    </row>
    <row r="183" spans="1:6">
      <c r="A183" s="16" t="s">
        <v>245</v>
      </c>
      <c r="B183" s="17">
        <v>2.7625000000000001E-8</v>
      </c>
      <c r="C183" s="16" t="s">
        <v>14</v>
      </c>
      <c r="D183" s="16"/>
      <c r="E183" s="16"/>
      <c r="F183" s="16"/>
    </row>
    <row r="184" spans="1:6">
      <c r="A184" s="16" t="s">
        <v>136</v>
      </c>
      <c r="B184" s="17">
        <v>3.5499999999999999E-9</v>
      </c>
      <c r="C184" s="16" t="s">
        <v>14</v>
      </c>
      <c r="D184" s="16"/>
      <c r="E184" s="16"/>
      <c r="F184" s="16"/>
    </row>
    <row r="185" spans="1:6">
      <c r="A185" s="16" t="s">
        <v>155</v>
      </c>
      <c r="B185" s="17">
        <v>1.2500000000000001E-5</v>
      </c>
      <c r="C185" s="16" t="s">
        <v>14</v>
      </c>
      <c r="D185" s="16"/>
      <c r="E185" s="16"/>
      <c r="F185" s="16"/>
    </row>
    <row r="186" spans="1:6">
      <c r="A186" s="16" t="s">
        <v>246</v>
      </c>
      <c r="B186" s="17">
        <v>5.9250000000000001E-9</v>
      </c>
      <c r="C186" s="16" t="s">
        <v>14</v>
      </c>
      <c r="D186" s="16"/>
      <c r="E186" s="16"/>
      <c r="F186" s="16"/>
    </row>
    <row r="187" spans="1:6">
      <c r="A187" s="16" t="s">
        <v>247</v>
      </c>
      <c r="B187" s="17">
        <v>2.3750000000000001E-8</v>
      </c>
      <c r="C187" s="16" t="s">
        <v>14</v>
      </c>
      <c r="D187" s="16"/>
      <c r="E187" s="16"/>
      <c r="F187" s="16"/>
    </row>
    <row r="188" spans="1:6">
      <c r="A188" s="16" t="s">
        <v>139</v>
      </c>
      <c r="B188" s="17">
        <v>2.5000000000000001E-4</v>
      </c>
      <c r="C188" s="16" t="s">
        <v>14</v>
      </c>
      <c r="D188" s="16"/>
      <c r="E188" s="16"/>
      <c r="F188" s="16"/>
    </row>
    <row r="189" spans="1:6">
      <c r="A189" s="16" t="s">
        <v>265</v>
      </c>
      <c r="B189" s="17">
        <v>2.1500000000000002E-6</v>
      </c>
      <c r="C189" s="16" t="s">
        <v>14</v>
      </c>
      <c r="D189" s="16"/>
      <c r="E189" s="16"/>
      <c r="F189" s="16"/>
    </row>
    <row r="190" spans="1:6">
      <c r="A190" s="16" t="s">
        <v>141</v>
      </c>
      <c r="B190" s="17">
        <v>2.5000000000000001E-5</v>
      </c>
      <c r="C190" s="16" t="s">
        <v>14</v>
      </c>
      <c r="D190" s="16"/>
      <c r="E190" s="16"/>
      <c r="F190" s="16"/>
    </row>
    <row r="191" spans="1:6">
      <c r="A191" s="16" t="s">
        <v>248</v>
      </c>
      <c r="B191" s="17">
        <v>1.2500000000000001E-5</v>
      </c>
      <c r="C191" s="16" t="s">
        <v>14</v>
      </c>
      <c r="D191" s="16"/>
      <c r="E191" s="16"/>
      <c r="F191" s="16"/>
    </row>
    <row r="192" spans="1:6">
      <c r="A192" s="16" t="s">
        <v>249</v>
      </c>
      <c r="B192" s="17">
        <v>2.5000000000000001E-5</v>
      </c>
      <c r="C192" s="16" t="s">
        <v>14</v>
      </c>
      <c r="D192" s="16"/>
      <c r="E192" s="16"/>
      <c r="F192" s="16"/>
    </row>
    <row r="193" spans="1:6">
      <c r="A193" s="16" t="s">
        <v>250</v>
      </c>
      <c r="B193" s="17">
        <v>7.9000000000000006E-8</v>
      </c>
      <c r="C193" s="16" t="s">
        <v>14</v>
      </c>
      <c r="D193" s="16"/>
      <c r="E193" s="16"/>
      <c r="F193" s="16"/>
    </row>
    <row r="194" spans="1:6">
      <c r="A194" s="16" t="s">
        <v>275</v>
      </c>
      <c r="B194" s="17">
        <v>1.0624999999999999E-4</v>
      </c>
      <c r="C194" s="16" t="s">
        <v>253</v>
      </c>
      <c r="D194" s="16"/>
      <c r="E194" s="16"/>
      <c r="F194" s="16"/>
    </row>
    <row r="195" spans="1:6">
      <c r="A195" s="16" t="s">
        <v>251</v>
      </c>
      <c r="B195" s="17">
        <v>1.575E-6</v>
      </c>
      <c r="C195" s="16" t="s">
        <v>14</v>
      </c>
      <c r="D195" s="16"/>
      <c r="E195" s="16"/>
      <c r="F195" s="16"/>
    </row>
    <row r="196" spans="1:6">
      <c r="A196" s="16" t="s">
        <v>252</v>
      </c>
      <c r="B196" s="17">
        <v>1.6875E-5</v>
      </c>
      <c r="C196" s="16" t="s">
        <v>253</v>
      </c>
      <c r="D196" s="16"/>
      <c r="E196" s="16"/>
      <c r="F196" s="16"/>
    </row>
    <row r="197" spans="1:6">
      <c r="A197" s="16" t="s">
        <v>143</v>
      </c>
      <c r="B197" s="17">
        <v>1.2500000000000001E-6</v>
      </c>
      <c r="C197" s="16" t="s">
        <v>14</v>
      </c>
      <c r="D197" s="16"/>
      <c r="E197" s="16"/>
      <c r="F197" s="16"/>
    </row>
    <row r="198" spans="1:6">
      <c r="A198" s="16" t="s">
        <v>268</v>
      </c>
      <c r="B198" s="17">
        <v>6.2500000000000005E-7</v>
      </c>
      <c r="C198" s="16" t="s">
        <v>14</v>
      </c>
      <c r="D198" s="16"/>
      <c r="E198" s="16"/>
      <c r="F198" s="16"/>
    </row>
    <row r="199" spans="1:6">
      <c r="A199" s="16" t="s">
        <v>276</v>
      </c>
      <c r="B199" s="17">
        <v>1.5E-5</v>
      </c>
      <c r="C199" s="16" t="s">
        <v>253</v>
      </c>
      <c r="D199" s="16"/>
      <c r="E199" s="16"/>
      <c r="F199" s="16"/>
    </row>
    <row r="200" spans="1:6">
      <c r="A200" s="16" t="s">
        <v>277</v>
      </c>
      <c r="B200" s="17">
        <v>8.1249999999999996E-5</v>
      </c>
      <c r="C200" s="16" t="s">
        <v>253</v>
      </c>
      <c r="D200" s="16"/>
      <c r="E200" s="16"/>
      <c r="F200" s="16"/>
    </row>
    <row r="201" spans="1:6">
      <c r="A201" s="16" t="s">
        <v>278</v>
      </c>
      <c r="B201" s="17">
        <v>1.2500000000000001E-6</v>
      </c>
      <c r="C201" s="16" t="s">
        <v>253</v>
      </c>
      <c r="D201" s="16"/>
      <c r="E201" s="16"/>
      <c r="F201" s="16"/>
    </row>
    <row r="202" spans="1:6">
      <c r="A202" s="16" t="s">
        <v>279</v>
      </c>
      <c r="B202" s="17">
        <v>1.2500000000000001E-6</v>
      </c>
      <c r="C202" s="16" t="s">
        <v>253</v>
      </c>
      <c r="D202" s="16"/>
      <c r="E202" s="16"/>
      <c r="F202" s="16"/>
    </row>
    <row r="203" spans="1:6">
      <c r="A203" s="16" t="s">
        <v>254</v>
      </c>
      <c r="B203" s="17">
        <v>1.575E-9</v>
      </c>
      <c r="C203" s="16" t="s">
        <v>14</v>
      </c>
      <c r="D203" s="16"/>
      <c r="E203" s="16"/>
      <c r="F203" s="16"/>
    </row>
    <row r="204" spans="1:6">
      <c r="A204" s="16" t="s">
        <v>255</v>
      </c>
      <c r="B204" s="17">
        <v>1.185E-8</v>
      </c>
      <c r="C204" s="16" t="s">
        <v>14</v>
      </c>
      <c r="D204" s="16"/>
      <c r="E204" s="16"/>
      <c r="F204" s="16"/>
    </row>
    <row r="205" spans="1:6">
      <c r="A205" s="16" t="s">
        <v>256</v>
      </c>
      <c r="B205" s="17">
        <v>1.9749999999999999E-5</v>
      </c>
      <c r="C205" s="16" t="s">
        <v>14</v>
      </c>
      <c r="D205" s="16"/>
      <c r="E205" s="16"/>
      <c r="F205" s="16"/>
    </row>
    <row r="206" spans="1:6">
      <c r="A206" s="16" t="s">
        <v>257</v>
      </c>
      <c r="B206" s="17">
        <v>7.8999999999999995E-7</v>
      </c>
      <c r="C206" s="16" t="s">
        <v>14</v>
      </c>
      <c r="D206" s="16"/>
      <c r="E206" s="16"/>
      <c r="F206" s="16"/>
    </row>
    <row r="207" spans="1:6">
      <c r="A207" s="16" t="s">
        <v>258</v>
      </c>
      <c r="B207" s="17">
        <v>2.375E-7</v>
      </c>
      <c r="C207" s="16" t="s">
        <v>14</v>
      </c>
      <c r="D207" s="16"/>
      <c r="E207" s="16"/>
      <c r="F207" s="16"/>
    </row>
    <row r="208" spans="1:6">
      <c r="A208" s="16" t="s">
        <v>120</v>
      </c>
      <c r="B208" s="17">
        <v>6.2500000000000001E-4</v>
      </c>
      <c r="C208" s="16" t="s">
        <v>14</v>
      </c>
      <c r="D208" s="16"/>
      <c r="E208" s="16"/>
      <c r="F208" s="16"/>
    </row>
    <row r="209" spans="1:6">
      <c r="A209" s="16" t="s">
        <v>259</v>
      </c>
      <c r="B209" s="17">
        <v>1.9749999999999999E-9</v>
      </c>
      <c r="C209" s="16" t="s">
        <v>14</v>
      </c>
      <c r="D209" s="16"/>
      <c r="E209" s="16"/>
      <c r="F209" s="16"/>
    </row>
    <row r="210" spans="1:6">
      <c r="A210" s="16" t="s">
        <v>280</v>
      </c>
      <c r="B210" s="17">
        <v>2.3750000000000002E-9</v>
      </c>
      <c r="C210" s="16" t="s">
        <v>14</v>
      </c>
      <c r="D210" s="16"/>
      <c r="E210" s="16"/>
      <c r="F210" s="16"/>
    </row>
    <row r="211" spans="1:6">
      <c r="A211" s="16" t="s">
        <v>281</v>
      </c>
      <c r="B211" s="17">
        <v>6.8750000000000002E-6</v>
      </c>
      <c r="C211" s="16" t="s">
        <v>253</v>
      </c>
      <c r="D211" s="16"/>
      <c r="E211" s="16"/>
      <c r="F211" s="16"/>
    </row>
    <row r="212" spans="1:6">
      <c r="A212" s="16" t="s">
        <v>282</v>
      </c>
      <c r="B212" s="17">
        <v>4.3749999999999996E-6</v>
      </c>
      <c r="C212" s="16" t="s">
        <v>253</v>
      </c>
      <c r="D212" s="16"/>
      <c r="E212" s="16"/>
      <c r="F212" s="16"/>
    </row>
    <row r="213" spans="1:6">
      <c r="A213" s="16" t="s">
        <v>260</v>
      </c>
      <c r="B213" s="17">
        <v>7.8999999999999996E-10</v>
      </c>
      <c r="C213" s="16" t="s">
        <v>14</v>
      </c>
      <c r="D213" s="16"/>
      <c r="E213" s="16"/>
      <c r="F213" s="16"/>
    </row>
    <row r="214" spans="1:6">
      <c r="A214" s="16" t="s">
        <v>261</v>
      </c>
      <c r="B214" s="17">
        <v>4.7375000000000002E-7</v>
      </c>
      <c r="C214" s="16" t="s">
        <v>14</v>
      </c>
      <c r="D214" s="16"/>
      <c r="E214" s="16"/>
      <c r="F214" s="16"/>
    </row>
    <row r="215" spans="1:6">
      <c r="A215" s="16" t="s">
        <v>147</v>
      </c>
      <c r="B215" s="17">
        <v>1.2499999999999999E-7</v>
      </c>
      <c r="C215" s="16" t="s">
        <v>14</v>
      </c>
      <c r="D215" s="16"/>
      <c r="E215" s="16"/>
      <c r="F215" s="16"/>
    </row>
    <row r="216" spans="1:6">
      <c r="A216" s="16" t="s">
        <v>283</v>
      </c>
      <c r="B216" s="17">
        <v>3.1625000000000002E-9</v>
      </c>
      <c r="C216" s="16" t="s">
        <v>14</v>
      </c>
      <c r="D216" s="16"/>
      <c r="E216" s="16"/>
      <c r="F216" s="16"/>
    </row>
    <row r="217" spans="1:6">
      <c r="A217" s="16" t="s">
        <v>284</v>
      </c>
      <c r="B217" s="17">
        <v>1.2500000000000001E-5</v>
      </c>
      <c r="C217" s="16" t="s">
        <v>253</v>
      </c>
      <c r="D217" s="16"/>
      <c r="E217" s="16"/>
      <c r="F217" s="16"/>
    </row>
    <row r="218" spans="1:6">
      <c r="A218" s="16" t="s">
        <v>262</v>
      </c>
      <c r="B218" s="17">
        <v>4.7374999999999999E-8</v>
      </c>
      <c r="C218" s="16" t="s">
        <v>14</v>
      </c>
      <c r="D218" s="16"/>
      <c r="E218" s="16"/>
      <c r="F218" s="16"/>
    </row>
    <row r="219" spans="1:6">
      <c r="A219" s="16" t="s">
        <v>263</v>
      </c>
      <c r="B219" s="17">
        <v>1.125E-6</v>
      </c>
      <c r="C219" s="16" t="s">
        <v>23</v>
      </c>
      <c r="D219" s="16"/>
      <c r="E219" s="16"/>
      <c r="F219" s="16"/>
    </row>
    <row r="220" spans="1:6">
      <c r="A220" s="16" t="s">
        <v>263</v>
      </c>
      <c r="B220" s="17">
        <v>6.3749999999999999E-6</v>
      </c>
      <c r="C220" s="16" t="s">
        <v>23</v>
      </c>
      <c r="D220" s="16"/>
      <c r="E220" s="16"/>
      <c r="F220" s="16"/>
    </row>
    <row r="221" spans="1:6">
      <c r="A221" s="16" t="s">
        <v>285</v>
      </c>
      <c r="B221" s="17">
        <v>1.2499999999999999E-7</v>
      </c>
      <c r="C221" s="16" t="s">
        <v>14</v>
      </c>
      <c r="D221" s="16"/>
      <c r="E221" s="16"/>
      <c r="F221" s="16"/>
    </row>
    <row r="222" spans="1:6">
      <c r="A222" s="16" t="s">
        <v>264</v>
      </c>
      <c r="B222" s="17">
        <v>3.9499999999999998E-9</v>
      </c>
      <c r="C222" s="16" t="s">
        <v>14</v>
      </c>
      <c r="D222" s="16"/>
      <c r="E222" s="16"/>
      <c r="F222" s="16"/>
    </row>
    <row r="224" spans="1:6" ht="15">
      <c r="A224" s="27" t="s">
        <v>184</v>
      </c>
      <c r="B224" s="39" t="s">
        <v>80</v>
      </c>
      <c r="C224" s="29">
        <v>1</v>
      </c>
      <c r="D224" s="28"/>
      <c r="E224" s="28" t="s">
        <v>286</v>
      </c>
      <c r="F224" s="28"/>
    </row>
    <row r="225" spans="1:6" ht="15">
      <c r="A225" s="27" t="s">
        <v>44</v>
      </c>
      <c r="B225" s="28"/>
      <c r="C225" s="28"/>
      <c r="D225" s="28"/>
      <c r="E225" s="28"/>
      <c r="F225" s="28"/>
    </row>
    <row r="226" spans="1:6">
      <c r="A226" s="28" t="s">
        <v>287</v>
      </c>
      <c r="B226" s="28">
        <v>0</v>
      </c>
      <c r="C226" s="28" t="s">
        <v>73</v>
      </c>
      <c r="D226" s="28"/>
      <c r="E226" s="28"/>
      <c r="F226" s="28" t="s">
        <v>84</v>
      </c>
    </row>
    <row r="227" spans="1:6">
      <c r="A227" s="28" t="s">
        <v>85</v>
      </c>
      <c r="B227" s="28">
        <v>0</v>
      </c>
      <c r="C227" s="28" t="s">
        <v>65</v>
      </c>
      <c r="D227" s="28"/>
      <c r="E227" s="28"/>
      <c r="F227" s="28" t="s">
        <v>68</v>
      </c>
    </row>
    <row r="228" spans="1:6">
      <c r="A228" s="28" t="s">
        <v>288</v>
      </c>
      <c r="B228" s="28">
        <v>0</v>
      </c>
      <c r="C228" s="28" t="s">
        <v>50</v>
      </c>
      <c r="D228" s="28"/>
      <c r="E228" s="28"/>
      <c r="F228" s="28" t="s">
        <v>88</v>
      </c>
    </row>
    <row r="229" spans="1:6">
      <c r="A229" s="28"/>
      <c r="B229" s="28"/>
      <c r="C229" s="28"/>
      <c r="D229" s="28"/>
      <c r="E229" s="28"/>
      <c r="F229" s="28"/>
    </row>
    <row r="230" spans="1:6" ht="15">
      <c r="A230" s="27" t="s">
        <v>76</v>
      </c>
      <c r="B230" s="28"/>
      <c r="C230" s="28"/>
      <c r="D230" s="28"/>
      <c r="E230" s="28"/>
      <c r="F230" s="28"/>
    </row>
    <row r="231" spans="1:6">
      <c r="A231" s="28" t="s">
        <v>45</v>
      </c>
      <c r="B231" s="28">
        <v>1</v>
      </c>
      <c r="C231" s="28" t="s">
        <v>73</v>
      </c>
      <c r="D231" s="28"/>
      <c r="E231" s="28"/>
      <c r="F231" s="28"/>
    </row>
    <row r="232" spans="1:6">
      <c r="A232" s="28" t="s">
        <v>289</v>
      </c>
      <c r="B232" s="29">
        <f>B12*B11*B62/0.6</f>
        <v>2.4653862871371546</v>
      </c>
      <c r="C232" s="28" t="s">
        <v>290</v>
      </c>
      <c r="D232" s="28"/>
      <c r="E232" s="28"/>
      <c r="F232" s="28"/>
    </row>
    <row r="233" spans="1:6">
      <c r="A233" s="28" t="s">
        <v>291</v>
      </c>
      <c r="B233" s="37">
        <f>B62-B246</f>
        <v>0.1320296869850098</v>
      </c>
      <c r="C233" s="28" t="s">
        <v>14</v>
      </c>
      <c r="D233" s="28"/>
      <c r="E233" s="28"/>
      <c r="F233" s="28" t="s">
        <v>292</v>
      </c>
    </row>
    <row r="234" spans="1:6">
      <c r="A234" s="28" t="s">
        <v>91</v>
      </c>
      <c r="B234" s="28">
        <v>0</v>
      </c>
      <c r="C234" s="29" t="s">
        <v>14</v>
      </c>
      <c r="D234" s="28"/>
      <c r="E234" s="28"/>
      <c r="F234" s="28"/>
    </row>
    <row r="235" spans="1:6">
      <c r="A235" s="28" t="s">
        <v>92</v>
      </c>
      <c r="B235" s="28">
        <v>0</v>
      </c>
      <c r="C235" s="29" t="s">
        <v>14</v>
      </c>
      <c r="D235" s="28"/>
      <c r="E235" s="28"/>
      <c r="F235" s="28"/>
    </row>
    <row r="236" spans="1:6">
      <c r="A236" s="28" t="s">
        <v>93</v>
      </c>
      <c r="B236" s="28">
        <v>0</v>
      </c>
      <c r="C236" s="29" t="s">
        <v>14</v>
      </c>
      <c r="D236" s="28"/>
      <c r="E236" s="28"/>
      <c r="F236" s="28"/>
    </row>
    <row r="237" spans="1:6">
      <c r="A237" s="28" t="s">
        <v>94</v>
      </c>
      <c r="B237" s="28">
        <v>0</v>
      </c>
      <c r="C237" s="29" t="s">
        <v>14</v>
      </c>
      <c r="D237" s="28"/>
      <c r="E237" s="28"/>
      <c r="F237" s="28"/>
    </row>
    <row r="238" spans="1:6">
      <c r="A238" s="28" t="s">
        <v>95</v>
      </c>
      <c r="B238" s="28">
        <v>0</v>
      </c>
      <c r="C238" s="29" t="s">
        <v>14</v>
      </c>
      <c r="D238" s="28"/>
      <c r="E238" s="28"/>
      <c r="F238" s="28"/>
    </row>
    <row r="240" spans="1:6" ht="15">
      <c r="A240" s="4" t="s">
        <v>293</v>
      </c>
      <c r="B240" s="2"/>
      <c r="C240" s="2"/>
      <c r="D240" s="2"/>
      <c r="E240" s="2"/>
      <c r="F240" s="2"/>
    </row>
    <row r="241" spans="1:6">
      <c r="A241" s="5" t="s">
        <v>294</v>
      </c>
      <c r="B241" s="5">
        <f>B12*B11*B62/0.6</f>
        <v>2.4653862871371546</v>
      </c>
      <c r="C241" s="5" t="s">
        <v>295</v>
      </c>
      <c r="D241" s="2"/>
      <c r="E241" s="2"/>
      <c r="F241" s="2"/>
    </row>
    <row r="242" spans="1:6">
      <c r="A242" s="2" t="s">
        <v>296</v>
      </c>
      <c r="B242" s="2"/>
      <c r="C242" s="2"/>
      <c r="D242" s="2"/>
      <c r="E242" s="5"/>
      <c r="F242" s="2"/>
    </row>
    <row r="243" spans="1:6">
      <c r="A243" s="2" t="s">
        <v>297</v>
      </c>
      <c r="B243" s="5">
        <f>B62</f>
        <v>0.13502159388895213</v>
      </c>
      <c r="C243" s="5" t="s">
        <v>14</v>
      </c>
      <c r="D243" s="5"/>
      <c r="E243" s="5"/>
      <c r="F243" s="2"/>
    </row>
    <row r="244" spans="1:6">
      <c r="A244" s="2" t="s">
        <v>298</v>
      </c>
      <c r="B244" s="5">
        <f>(1*B232)/(0.0821*273)</f>
        <v>0.10999657735082091</v>
      </c>
      <c r="C244" s="2"/>
      <c r="D244" s="5"/>
      <c r="E244" s="5"/>
      <c r="F244" s="2"/>
    </row>
    <row r="245" spans="1:6">
      <c r="A245" s="2" t="s">
        <v>299</v>
      </c>
      <c r="B245" s="2">
        <f>16*0.6+44*0.4</f>
        <v>27.200000000000003</v>
      </c>
      <c r="C245" s="2" t="s">
        <v>40</v>
      </c>
      <c r="D245" s="2"/>
      <c r="E245" s="2"/>
      <c r="F245" s="2"/>
    </row>
    <row r="246" spans="1:6">
      <c r="A246" s="2" t="s">
        <v>300</v>
      </c>
      <c r="B246" s="5">
        <f>B245*B244/1000</f>
        <v>2.9919069039423293E-3</v>
      </c>
      <c r="C246" s="2" t="s">
        <v>14</v>
      </c>
      <c r="D246" s="2"/>
      <c r="E246" s="2"/>
      <c r="F246" s="2"/>
    </row>
    <row r="247" spans="1:6" ht="20.25">
      <c r="A247" s="2" t="s">
        <v>301</v>
      </c>
      <c r="B247" s="5">
        <f>B243-B246</f>
        <v>0.1320296869850098</v>
      </c>
      <c r="C247" s="2" t="s">
        <v>14</v>
      </c>
      <c r="D247" s="2"/>
      <c r="E247" s="40"/>
      <c r="F247" s="2"/>
    </row>
    <row r="248" spans="1:6">
      <c r="A248" s="2" t="s">
        <v>302</v>
      </c>
      <c r="B248" s="5">
        <f>(B62)/(B246/B4)</f>
        <v>55.102438488703839</v>
      </c>
      <c r="C248" s="2" t="s">
        <v>14</v>
      </c>
      <c r="D248" s="2"/>
      <c r="E248" s="2"/>
      <c r="F248" s="2"/>
    </row>
    <row r="250" spans="1:6" ht="15">
      <c r="A250" s="33" t="s">
        <v>303</v>
      </c>
      <c r="B250" s="24"/>
      <c r="C250" s="25"/>
      <c r="D250" s="24" t="s">
        <v>108</v>
      </c>
      <c r="E250" s="25"/>
      <c r="F250" s="25"/>
    </row>
    <row r="251" spans="1:6" ht="15">
      <c r="A251" s="24" t="s">
        <v>44</v>
      </c>
      <c r="B251" s="25"/>
      <c r="C251" s="25"/>
      <c r="D251" s="25"/>
      <c r="E251" s="25"/>
      <c r="F251" s="25"/>
    </row>
    <row r="252" spans="1:6">
      <c r="A252" s="25" t="s">
        <v>109</v>
      </c>
      <c r="B252" s="26">
        <v>2.0799999999999999E-4</v>
      </c>
      <c r="C252" s="25" t="s">
        <v>14</v>
      </c>
      <c r="D252" s="25"/>
      <c r="E252" s="25"/>
      <c r="F252" s="25" t="s">
        <v>110</v>
      </c>
    </row>
    <row r="253" spans="1:6">
      <c r="A253" s="25" t="s">
        <v>111</v>
      </c>
      <c r="B253" s="26">
        <v>5.4000000000000001E-11</v>
      </c>
      <c r="C253" s="25" t="s">
        <v>46</v>
      </c>
      <c r="D253" s="25"/>
      <c r="E253" s="25"/>
      <c r="F253" s="25" t="s">
        <v>112</v>
      </c>
    </row>
    <row r="254" spans="1:6">
      <c r="A254" s="25" t="s">
        <v>85</v>
      </c>
      <c r="B254" s="25">
        <v>0.18562874251497</v>
      </c>
      <c r="C254" s="25" t="s">
        <v>86</v>
      </c>
      <c r="D254" s="25"/>
      <c r="E254" s="25"/>
      <c r="F254" s="25" t="s">
        <v>68</v>
      </c>
    </row>
    <row r="255" spans="1:6">
      <c r="A255" s="25" t="s">
        <v>113</v>
      </c>
      <c r="B255" s="26">
        <v>1.4999999999999999E-4</v>
      </c>
      <c r="C255" s="25" t="s">
        <v>14</v>
      </c>
      <c r="D255" s="25"/>
      <c r="E255" s="25"/>
      <c r="F255" s="25" t="s">
        <v>114</v>
      </c>
    </row>
    <row r="256" spans="1:6">
      <c r="A256" s="25" t="s">
        <v>115</v>
      </c>
      <c r="B256" s="26">
        <v>3.98E-6</v>
      </c>
      <c r="C256" s="25" t="s">
        <v>14</v>
      </c>
      <c r="D256" s="25"/>
      <c r="E256" s="25"/>
      <c r="F256" s="25" t="s">
        <v>116</v>
      </c>
    </row>
    <row r="257" spans="1:6">
      <c r="A257" s="25"/>
      <c r="B257" s="25"/>
      <c r="C257" s="25"/>
      <c r="D257" s="25"/>
      <c r="E257" s="25"/>
      <c r="F257" s="25"/>
    </row>
    <row r="258" spans="1:6" ht="15">
      <c r="A258" s="24" t="s">
        <v>61</v>
      </c>
      <c r="B258" s="25"/>
      <c r="C258" s="25"/>
      <c r="D258" s="25"/>
      <c r="E258" s="25"/>
      <c r="F258" s="25"/>
    </row>
    <row r="259" spans="1:6">
      <c r="A259" s="25" t="s">
        <v>47</v>
      </c>
      <c r="B259" s="25">
        <v>1</v>
      </c>
      <c r="C259" s="25" t="s">
        <v>46</v>
      </c>
      <c r="D259" s="25"/>
      <c r="E259" s="25"/>
      <c r="F259" s="25"/>
    </row>
    <row r="260" spans="1:6">
      <c r="A260" s="25" t="s">
        <v>117</v>
      </c>
      <c r="B260" s="25">
        <v>1</v>
      </c>
      <c r="C260" s="25" t="s">
        <v>23</v>
      </c>
      <c r="D260" s="25"/>
      <c r="E260" s="25"/>
      <c r="F260" s="25"/>
    </row>
    <row r="261" spans="1:6">
      <c r="A261" s="25" t="s">
        <v>92</v>
      </c>
      <c r="B261" s="26">
        <v>0.97457000000000005</v>
      </c>
      <c r="C261" s="25" t="s">
        <v>14</v>
      </c>
      <c r="D261" s="25"/>
      <c r="E261" s="25"/>
      <c r="F261" s="25"/>
    </row>
    <row r="262" spans="1:6">
      <c r="A262" s="25" t="s">
        <v>118</v>
      </c>
      <c r="B262" s="26">
        <v>1.28</v>
      </c>
      <c r="C262" s="25" t="s">
        <v>50</v>
      </c>
      <c r="D262" s="25"/>
      <c r="E262" s="25"/>
      <c r="F262" s="25"/>
    </row>
    <row r="263" spans="1:6">
      <c r="A263" s="25" t="s">
        <v>94</v>
      </c>
      <c r="B263" s="26">
        <v>6.7000000000000002E-6</v>
      </c>
      <c r="C263" s="25" t="s">
        <v>14</v>
      </c>
      <c r="D263" s="25"/>
      <c r="E263" s="25"/>
      <c r="F263" s="25"/>
    </row>
    <row r="264" spans="1:6">
      <c r="A264" s="25" t="s">
        <v>95</v>
      </c>
      <c r="B264" s="25">
        <v>8.6E-3</v>
      </c>
      <c r="C264" s="25" t="s">
        <v>14</v>
      </c>
      <c r="D264" s="25"/>
      <c r="E264" s="25"/>
      <c r="F264" s="25"/>
    </row>
    <row r="265" spans="1:6">
      <c r="A265" s="25" t="s">
        <v>119</v>
      </c>
      <c r="B265" s="25">
        <v>4.8779999999999997E-2</v>
      </c>
      <c r="C265" s="25" t="s">
        <v>14</v>
      </c>
      <c r="D265" s="25"/>
      <c r="E265" s="25"/>
      <c r="F265" s="25"/>
    </row>
    <row r="266" spans="1:6">
      <c r="A266" s="25" t="s">
        <v>120</v>
      </c>
      <c r="B266" s="26">
        <v>6.5989999999999998E-6</v>
      </c>
      <c r="C266" s="25" t="s">
        <v>14</v>
      </c>
      <c r="D266" s="25"/>
      <c r="E266" s="25"/>
      <c r="F266" s="25"/>
    </row>
    <row r="268" spans="1:6" ht="15">
      <c r="A268" s="34" t="s">
        <v>186</v>
      </c>
      <c r="B268" s="28"/>
      <c r="C268" s="28"/>
      <c r="D268" s="27" t="s">
        <v>121</v>
      </c>
      <c r="E268" s="28"/>
      <c r="F268" s="28"/>
    </row>
    <row r="269" spans="1:6" ht="15">
      <c r="A269" s="27" t="s">
        <v>44</v>
      </c>
      <c r="B269" s="28"/>
      <c r="C269" s="28"/>
      <c r="D269" s="28"/>
      <c r="E269" s="28"/>
      <c r="F269" s="28"/>
    </row>
    <row r="270" spans="1:6">
      <c r="A270" s="28" t="s">
        <v>85</v>
      </c>
      <c r="B270" s="28">
        <v>2.7244000000000001E-3</v>
      </c>
      <c r="C270" s="28" t="s">
        <v>86</v>
      </c>
      <c r="D270" s="28"/>
      <c r="E270" s="28"/>
      <c r="F270" s="28" t="s">
        <v>68</v>
      </c>
    </row>
    <row r="271" spans="1:6">
      <c r="A271" s="28" t="s">
        <v>122</v>
      </c>
      <c r="B271" s="29">
        <v>6.4679999999999999E-7</v>
      </c>
      <c r="C271" s="28" t="s">
        <v>46</v>
      </c>
      <c r="D271" s="28"/>
      <c r="E271" s="28"/>
      <c r="F271" s="28" t="s">
        <v>123</v>
      </c>
    </row>
    <row r="272" spans="1:6">
      <c r="A272" s="28"/>
      <c r="B272" s="28"/>
      <c r="C272" s="28"/>
      <c r="D272" s="28"/>
      <c r="E272" s="28"/>
      <c r="F272" s="28"/>
    </row>
    <row r="273" spans="1:6" ht="15">
      <c r="A273" s="27" t="s">
        <v>61</v>
      </c>
      <c r="B273" s="28"/>
      <c r="C273" s="28"/>
      <c r="D273" s="28"/>
      <c r="E273" s="28"/>
      <c r="F273" s="28"/>
    </row>
    <row r="274" spans="1:6">
      <c r="A274" s="28" t="s">
        <v>124</v>
      </c>
      <c r="B274" s="28">
        <v>1</v>
      </c>
      <c r="C274" s="28" t="s">
        <v>46</v>
      </c>
      <c r="D274" s="28"/>
      <c r="E274" s="28"/>
      <c r="F274" s="28"/>
    </row>
    <row r="275" spans="1:6">
      <c r="A275" s="28" t="s">
        <v>125</v>
      </c>
      <c r="B275" s="28">
        <v>0</v>
      </c>
      <c r="C275" s="28" t="s">
        <v>50</v>
      </c>
      <c r="D275" s="28"/>
      <c r="E275" s="28" t="s">
        <v>126</v>
      </c>
      <c r="F275" s="28"/>
    </row>
    <row r="276" spans="1:6">
      <c r="A276" s="28" t="s">
        <v>128</v>
      </c>
      <c r="B276" s="29">
        <v>9.7999999999999992E-10</v>
      </c>
      <c r="C276" s="28" t="s">
        <v>14</v>
      </c>
      <c r="D276" s="28"/>
      <c r="E276" s="28"/>
      <c r="F276" s="28"/>
    </row>
    <row r="277" spans="1:6">
      <c r="A277" s="28" t="s">
        <v>129</v>
      </c>
      <c r="B277" s="29">
        <v>1.4700000000000001E-7</v>
      </c>
      <c r="C277" s="28" t="s">
        <v>14</v>
      </c>
      <c r="D277" s="28"/>
      <c r="E277" s="28"/>
      <c r="F277" s="28"/>
    </row>
    <row r="278" spans="1:6">
      <c r="A278" s="28" t="s">
        <v>130</v>
      </c>
      <c r="B278" s="29">
        <v>3.9200000000000002E-7</v>
      </c>
      <c r="C278" s="28" t="s">
        <v>14</v>
      </c>
      <c r="D278" s="28"/>
      <c r="E278" s="28"/>
      <c r="F278" s="28"/>
    </row>
    <row r="279" spans="1:6">
      <c r="A279" s="28" t="s">
        <v>131</v>
      </c>
      <c r="B279" s="29">
        <v>9.7999999999999994E-12</v>
      </c>
      <c r="C279" s="28" t="s">
        <v>14</v>
      </c>
      <c r="D279" s="28"/>
      <c r="E279" s="28"/>
      <c r="F279" s="28"/>
    </row>
    <row r="280" spans="1:6">
      <c r="A280" s="28" t="s">
        <v>132</v>
      </c>
      <c r="B280" s="29">
        <v>6.8599999999999998E-7</v>
      </c>
      <c r="C280" s="28" t="s">
        <v>14</v>
      </c>
      <c r="D280" s="28"/>
      <c r="E280" s="28"/>
      <c r="F280" s="28"/>
    </row>
    <row r="281" spans="1:6">
      <c r="A281" s="28" t="s">
        <v>92</v>
      </c>
      <c r="B281" s="28">
        <v>5.4879999999999998E-2</v>
      </c>
      <c r="C281" s="28" t="s">
        <v>14</v>
      </c>
      <c r="D281" s="28"/>
      <c r="E281" s="28"/>
      <c r="F281" s="28"/>
    </row>
    <row r="282" spans="1:6">
      <c r="A282" s="28" t="s">
        <v>133</v>
      </c>
      <c r="B282" s="29">
        <v>5.7819999999999999E-6</v>
      </c>
      <c r="C282" s="28" t="s">
        <v>14</v>
      </c>
      <c r="D282" s="28"/>
      <c r="E282" s="28"/>
      <c r="F282" s="28"/>
    </row>
    <row r="283" spans="1:6">
      <c r="A283" s="28" t="s">
        <v>93</v>
      </c>
      <c r="B283" s="29">
        <v>4.8999999999999997E-7</v>
      </c>
      <c r="C283" s="28" t="s">
        <v>14</v>
      </c>
      <c r="D283" s="28"/>
      <c r="E283" s="28"/>
      <c r="F283" s="28"/>
    </row>
    <row r="284" spans="1:6">
      <c r="A284" s="28" t="s">
        <v>134</v>
      </c>
      <c r="B284" s="29">
        <v>2.9400000000000001E-17</v>
      </c>
      <c r="C284" s="28" t="s">
        <v>14</v>
      </c>
      <c r="D284" s="28"/>
      <c r="E284" s="28"/>
      <c r="F284" s="28"/>
    </row>
    <row r="285" spans="1:6">
      <c r="A285" s="28" t="s">
        <v>135</v>
      </c>
      <c r="B285" s="29">
        <v>9.8000000000000004E-8</v>
      </c>
      <c r="C285" s="28" t="s">
        <v>14</v>
      </c>
      <c r="D285" s="28"/>
      <c r="E285" s="28"/>
      <c r="F285" s="28"/>
    </row>
    <row r="286" spans="1:6">
      <c r="A286" s="28" t="s">
        <v>136</v>
      </c>
      <c r="B286" s="29">
        <v>2.9400000000000003E-11</v>
      </c>
      <c r="C286" s="28" t="s">
        <v>14</v>
      </c>
      <c r="D286" s="28"/>
      <c r="E286" s="28"/>
      <c r="F286" s="28"/>
    </row>
    <row r="287" spans="1:6">
      <c r="A287" s="28" t="s">
        <v>95</v>
      </c>
      <c r="B287" s="29">
        <v>1.9599999999999999E-6</v>
      </c>
      <c r="C287" s="28" t="s">
        <v>14</v>
      </c>
      <c r="D287" s="28"/>
      <c r="E287" s="28"/>
      <c r="F287" s="28"/>
    </row>
    <row r="288" spans="1:6">
      <c r="A288" s="28" t="s">
        <v>137</v>
      </c>
      <c r="B288" s="29">
        <v>1.2739999999999999E-7</v>
      </c>
      <c r="C288" s="28" t="s">
        <v>14</v>
      </c>
      <c r="D288" s="28"/>
      <c r="E288" s="28"/>
      <c r="F288" s="28"/>
    </row>
    <row r="289" spans="1:6">
      <c r="A289" s="28" t="s">
        <v>138</v>
      </c>
      <c r="B289" s="29">
        <v>2.9400000000000002E-9</v>
      </c>
      <c r="C289" s="28" t="s">
        <v>14</v>
      </c>
      <c r="D289" s="28"/>
      <c r="E289" s="28"/>
      <c r="F289" s="28"/>
    </row>
    <row r="290" spans="1:6">
      <c r="A290" s="28" t="s">
        <v>139</v>
      </c>
      <c r="B290" s="29">
        <v>9.7019999999999996E-6</v>
      </c>
      <c r="C290" s="28" t="s">
        <v>14</v>
      </c>
      <c r="D290" s="28"/>
      <c r="E290" s="28"/>
      <c r="F290" s="28"/>
    </row>
    <row r="291" spans="1:6">
      <c r="A291" s="28" t="s">
        <v>140</v>
      </c>
      <c r="B291" s="29">
        <v>9.8000000000000001E-9</v>
      </c>
      <c r="C291" s="28" t="s">
        <v>14</v>
      </c>
      <c r="D291" s="28"/>
      <c r="E291" s="28"/>
      <c r="F291" s="28"/>
    </row>
    <row r="292" spans="1:6">
      <c r="A292" s="28" t="s">
        <v>141</v>
      </c>
      <c r="B292" s="29">
        <v>9.8000000000000004E-8</v>
      </c>
      <c r="C292" s="28" t="s">
        <v>14</v>
      </c>
      <c r="D292" s="28"/>
      <c r="E292" s="28"/>
      <c r="F292" s="28"/>
    </row>
    <row r="293" spans="1:6">
      <c r="A293" s="28" t="s">
        <v>142</v>
      </c>
      <c r="B293" s="29">
        <v>1.176E-6</v>
      </c>
      <c r="C293" s="28" t="s">
        <v>14</v>
      </c>
      <c r="D293" s="28"/>
      <c r="E293" s="28"/>
      <c r="F293" s="28"/>
    </row>
    <row r="294" spans="1:6">
      <c r="A294" s="28" t="s">
        <v>143</v>
      </c>
      <c r="B294" s="29">
        <v>1.9600000000000001E-7</v>
      </c>
      <c r="C294" s="28" t="s">
        <v>14</v>
      </c>
      <c r="D294" s="28"/>
      <c r="E294" s="28"/>
      <c r="F294" s="28"/>
    </row>
    <row r="295" spans="1:6">
      <c r="A295" s="28" t="s">
        <v>144</v>
      </c>
      <c r="B295" s="29">
        <v>1.96E-8</v>
      </c>
      <c r="C295" s="28" t="s">
        <v>14</v>
      </c>
      <c r="D295" s="28"/>
      <c r="E295" s="28"/>
      <c r="F295" s="28"/>
    </row>
    <row r="296" spans="1:6">
      <c r="A296" s="28" t="s">
        <v>145</v>
      </c>
      <c r="B296" s="29">
        <v>4.9000000000000002E-8</v>
      </c>
      <c r="C296" s="28" t="s">
        <v>14</v>
      </c>
      <c r="D296" s="28"/>
      <c r="E296" s="28"/>
      <c r="F296" s="28"/>
    </row>
    <row r="297" spans="1:6">
      <c r="A297" s="28" t="s">
        <v>146</v>
      </c>
      <c r="B297" s="29">
        <v>4.9000000000000002E-8</v>
      </c>
      <c r="C297" s="28" t="s">
        <v>14</v>
      </c>
      <c r="D297" s="28"/>
      <c r="E297" s="28"/>
      <c r="F297" s="28"/>
    </row>
    <row r="298" spans="1:6">
      <c r="A298" s="28" t="s">
        <v>120</v>
      </c>
      <c r="B298" s="29">
        <v>4.8999999999999997E-7</v>
      </c>
      <c r="C298" s="28" t="s">
        <v>14</v>
      </c>
      <c r="D298" s="28"/>
      <c r="E298" s="28"/>
      <c r="F298" s="28"/>
    </row>
    <row r="299" spans="1:6">
      <c r="A299" s="28" t="s">
        <v>147</v>
      </c>
      <c r="B299" s="29">
        <v>1.9600000000000001E-7</v>
      </c>
      <c r="C299" s="28" t="s">
        <v>14</v>
      </c>
      <c r="D299" s="28"/>
      <c r="E299" s="28"/>
      <c r="F299" s="28"/>
    </row>
    <row r="301" spans="1:6" ht="15">
      <c r="A301" s="30" t="s">
        <v>304</v>
      </c>
      <c r="B301" s="16"/>
      <c r="C301" s="16"/>
      <c r="D301" s="16"/>
      <c r="E301" s="16"/>
      <c r="F301" s="16"/>
    </row>
    <row r="302" spans="1:6" ht="15">
      <c r="A302" s="15" t="s">
        <v>44</v>
      </c>
      <c r="B302" s="16"/>
      <c r="C302" s="16"/>
      <c r="D302" s="16"/>
      <c r="E302" s="16"/>
      <c r="F302" s="16"/>
    </row>
    <row r="303" spans="1:6">
      <c r="A303" s="16" t="s">
        <v>85</v>
      </c>
      <c r="B303" s="16">
        <v>4.6333333333333296E-3</v>
      </c>
      <c r="C303" s="16" t="s">
        <v>86</v>
      </c>
      <c r="D303" s="16"/>
      <c r="E303" s="16"/>
      <c r="F303" s="16" t="s">
        <v>68</v>
      </c>
    </row>
    <row r="304" spans="1:6">
      <c r="A304" s="16" t="s">
        <v>149</v>
      </c>
      <c r="B304" s="17">
        <v>3.1111111111111102E-9</v>
      </c>
      <c r="C304" s="16" t="s">
        <v>46</v>
      </c>
      <c r="D304" s="16"/>
      <c r="E304" s="16"/>
      <c r="F304" s="16" t="s">
        <v>150</v>
      </c>
    </row>
    <row r="305" spans="1:6">
      <c r="A305" s="16" t="s">
        <v>151</v>
      </c>
      <c r="B305" s="16">
        <v>3.0864197530864199E-2</v>
      </c>
      <c r="C305" s="16" t="s">
        <v>23</v>
      </c>
      <c r="D305" s="16"/>
      <c r="E305" s="16"/>
      <c r="F305" s="16" t="s">
        <v>152</v>
      </c>
    </row>
    <row r="306" spans="1:6">
      <c r="A306" s="16"/>
      <c r="B306" s="16"/>
      <c r="C306" s="16"/>
      <c r="D306" s="16"/>
      <c r="E306" s="16"/>
      <c r="F306" s="16"/>
    </row>
    <row r="307" spans="1:6" ht="15">
      <c r="A307" s="15" t="s">
        <v>76</v>
      </c>
      <c r="B307" s="16"/>
      <c r="C307" s="16"/>
      <c r="D307" s="16"/>
      <c r="E307" s="16"/>
      <c r="F307" s="16"/>
    </row>
    <row r="308" spans="1:6">
      <c r="A308" s="16" t="s">
        <v>87</v>
      </c>
      <c r="B308" s="16">
        <v>1</v>
      </c>
      <c r="C308" s="16" t="s">
        <v>50</v>
      </c>
      <c r="D308" s="16"/>
      <c r="E308" s="16"/>
      <c r="F308" s="16"/>
    </row>
    <row r="309" spans="1:6">
      <c r="A309" s="16" t="s">
        <v>128</v>
      </c>
      <c r="B309" s="17">
        <v>1.11111111111111E-9</v>
      </c>
      <c r="C309" s="16" t="s">
        <v>14</v>
      </c>
      <c r="D309" s="16"/>
      <c r="E309" s="16"/>
      <c r="F309" s="16"/>
    </row>
    <row r="310" spans="1:6">
      <c r="A310" s="16" t="s">
        <v>129</v>
      </c>
      <c r="B310" s="17">
        <v>1.6666666666666699E-7</v>
      </c>
      <c r="C310" s="16" t="s">
        <v>14</v>
      </c>
      <c r="D310" s="44"/>
      <c r="E310" s="16"/>
      <c r="F310" s="16"/>
    </row>
    <row r="311" spans="1:6">
      <c r="A311" s="16" t="s">
        <v>130</v>
      </c>
      <c r="B311" s="17">
        <v>4.4444444444444401E-7</v>
      </c>
      <c r="C311" s="16" t="s">
        <v>14</v>
      </c>
      <c r="D311" s="16"/>
      <c r="E311" s="16"/>
      <c r="F311" s="16"/>
    </row>
    <row r="312" spans="1:6">
      <c r="A312" s="17" t="s">
        <v>131</v>
      </c>
      <c r="B312" s="17">
        <v>1.11111111111111E-11</v>
      </c>
      <c r="C312" s="16" t="s">
        <v>14</v>
      </c>
      <c r="D312" s="16"/>
      <c r="E312" s="16"/>
      <c r="F312" s="16"/>
    </row>
    <row r="313" spans="1:6">
      <c r="A313" s="17" t="s">
        <v>132</v>
      </c>
      <c r="B313" s="17">
        <v>7.77777777777778E-7</v>
      </c>
      <c r="C313" s="16" t="s">
        <v>14</v>
      </c>
      <c r="D313" s="16"/>
      <c r="E313" s="16"/>
      <c r="F313" s="16"/>
    </row>
    <row r="314" spans="1:6">
      <c r="A314" s="17" t="s">
        <v>153</v>
      </c>
      <c r="B314" s="16">
        <v>6.22222222222222E-2</v>
      </c>
      <c r="C314" s="16" t="s">
        <v>14</v>
      </c>
      <c r="D314" s="16"/>
      <c r="E314" s="16"/>
      <c r="F314" s="16"/>
    </row>
    <row r="315" spans="1:6">
      <c r="A315" s="17" t="s">
        <v>154</v>
      </c>
      <c r="B315" s="17">
        <v>1.5555555555555599E-5</v>
      </c>
      <c r="C315" s="16" t="s">
        <v>14</v>
      </c>
      <c r="D315" s="16"/>
      <c r="E315" s="16"/>
      <c r="F315" s="16"/>
    </row>
    <row r="316" spans="1:6">
      <c r="A316" s="17" t="s">
        <v>93</v>
      </c>
      <c r="B316" s="17">
        <v>1.11111111111111E-7</v>
      </c>
      <c r="C316" s="16" t="s">
        <v>14</v>
      </c>
      <c r="D316" s="16"/>
      <c r="E316" s="16"/>
      <c r="F316" s="16"/>
    </row>
    <row r="317" spans="1:6">
      <c r="A317" s="16" t="s">
        <v>134</v>
      </c>
      <c r="B317" s="17">
        <v>3.3333333333333298E-17</v>
      </c>
      <c r="C317" s="16" t="s">
        <v>14</v>
      </c>
      <c r="D317" s="16"/>
      <c r="E317" s="16"/>
      <c r="F317" s="17"/>
    </row>
    <row r="318" spans="1:6">
      <c r="A318" s="16" t="s">
        <v>135</v>
      </c>
      <c r="B318" s="17">
        <v>1.11111111111111E-7</v>
      </c>
      <c r="C318" s="16" t="s">
        <v>14</v>
      </c>
      <c r="D318" s="16"/>
      <c r="E318" s="17"/>
      <c r="F318" s="16"/>
    </row>
    <row r="319" spans="1:6">
      <c r="A319" s="17" t="s">
        <v>136</v>
      </c>
      <c r="B319" s="17">
        <v>3.3333333333333302E-11</v>
      </c>
      <c r="C319" s="16" t="s">
        <v>14</v>
      </c>
      <c r="D319" s="16"/>
      <c r="E319" s="16"/>
      <c r="F319" s="16"/>
    </row>
    <row r="320" spans="1:6">
      <c r="A320" s="16" t="s">
        <v>155</v>
      </c>
      <c r="B320" s="17">
        <v>2.22222222222222E-6</v>
      </c>
      <c r="C320" s="16" t="s">
        <v>14</v>
      </c>
      <c r="D320" s="16"/>
      <c r="E320" s="16"/>
      <c r="F320" s="16"/>
    </row>
    <row r="321" spans="1:6">
      <c r="A321" s="16" t="s">
        <v>139</v>
      </c>
      <c r="B321" s="17">
        <v>2.5555555555555602E-5</v>
      </c>
      <c r="C321" s="16" t="s">
        <v>14</v>
      </c>
      <c r="D321" s="16"/>
      <c r="E321" s="16"/>
      <c r="F321" s="16"/>
    </row>
    <row r="322" spans="1:6">
      <c r="A322" s="16" t="s">
        <v>140</v>
      </c>
      <c r="B322" s="17">
        <v>1.11111111111111E-8</v>
      </c>
      <c r="C322" s="16" t="s">
        <v>14</v>
      </c>
      <c r="D322" s="16"/>
      <c r="E322" s="16"/>
      <c r="F322" s="16"/>
    </row>
    <row r="323" spans="1:6">
      <c r="A323" s="16" t="s">
        <v>141</v>
      </c>
      <c r="B323" s="17">
        <v>1.11111111111111E-7</v>
      </c>
      <c r="C323" s="16" t="s">
        <v>14</v>
      </c>
      <c r="D323" s="16"/>
      <c r="E323" s="16"/>
      <c r="F323" s="16"/>
    </row>
    <row r="324" spans="1:6">
      <c r="A324" s="17" t="s">
        <v>142</v>
      </c>
      <c r="B324" s="17">
        <v>1.33333333333333E-6</v>
      </c>
      <c r="C324" s="16" t="s">
        <v>14</v>
      </c>
      <c r="D324" s="16"/>
      <c r="E324" s="16"/>
      <c r="F324" s="16"/>
    </row>
    <row r="325" spans="1:6">
      <c r="A325" s="17" t="s">
        <v>143</v>
      </c>
      <c r="B325" s="17">
        <v>2.2222222222222201E-7</v>
      </c>
      <c r="C325" s="16" t="s">
        <v>14</v>
      </c>
      <c r="D325" s="16"/>
      <c r="E325" s="16"/>
      <c r="F325" s="16"/>
    </row>
    <row r="326" spans="1:6">
      <c r="A326" s="16" t="s">
        <v>144</v>
      </c>
      <c r="B326" s="17">
        <v>2.2222222222222201E-8</v>
      </c>
      <c r="C326" s="16" t="s">
        <v>14</v>
      </c>
      <c r="D326" s="16"/>
      <c r="E326" s="16"/>
      <c r="F326" s="16"/>
    </row>
    <row r="327" spans="1:6">
      <c r="A327" s="16" t="s">
        <v>120</v>
      </c>
      <c r="B327" s="17">
        <v>6.1111111111111095E-7</v>
      </c>
      <c r="C327" s="16" t="s">
        <v>14</v>
      </c>
      <c r="D327" s="16"/>
      <c r="E327" s="16"/>
      <c r="F327" s="16"/>
    </row>
    <row r="328" spans="1:6">
      <c r="A328" s="17" t="s">
        <v>147</v>
      </c>
      <c r="B328" s="17">
        <v>2.2222222222222201E-7</v>
      </c>
      <c r="C328" s="16" t="s">
        <v>14</v>
      </c>
      <c r="D328" s="16"/>
      <c r="E328" s="16"/>
      <c r="F328" s="16"/>
    </row>
    <row r="332" spans="1:6">
      <c r="B332" s="3"/>
    </row>
    <row r="333" spans="1:6">
      <c r="B333" s="3"/>
    </row>
    <row r="334" spans="1:6">
      <c r="B334" s="3"/>
    </row>
    <row r="341" spans="1:6">
      <c r="E341" s="3"/>
      <c r="F341" s="3"/>
    </row>
    <row r="342" spans="1:6">
      <c r="B342" s="3"/>
      <c r="E342" s="3"/>
      <c r="F342" s="3"/>
    </row>
    <row r="343" spans="1:6">
      <c r="B343" s="3"/>
      <c r="C343" s="3"/>
      <c r="E343" s="3"/>
      <c r="F343" s="3"/>
    </row>
    <row r="344" spans="1:6">
      <c r="B344" s="3"/>
      <c r="C344" s="3"/>
      <c r="E344" s="3"/>
      <c r="F344" s="3"/>
    </row>
    <row r="345" spans="1:6">
      <c r="B345" s="3"/>
      <c r="E345" s="3"/>
      <c r="F345" s="3"/>
    </row>
    <row r="346" spans="1:6">
      <c r="B346" s="3"/>
    </row>
    <row r="347" spans="1:6">
      <c r="A347" s="3"/>
    </row>
  </sheetData>
  <hyperlinks>
    <hyperlink ref="D43" r:id="rId1" display="https://biogasworld.com/fr/product/gestion-du-digestat/deshydratation-du-digestat/pressoir-rotatif-fournier/" xr:uid="{992FBA5F-047F-49E4-A81A-88072335EC54}"/>
    <hyperlink ref="D44" r:id="rId2" xr:uid="{EE59B7D8-F577-4A85-8FDF-C41AD9EAC7BA}"/>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BF8C8-5FB9-4B90-B044-87A2A6129097}">
  <dimension ref="A1:F342"/>
  <sheetViews>
    <sheetView topLeftCell="A341" zoomScale="44" zoomScaleNormal="85" workbookViewId="0">
      <selection activeCell="Y55" sqref="Y55"/>
    </sheetView>
  </sheetViews>
  <sheetFormatPr baseColWidth="10" defaultColWidth="9" defaultRowHeight="14.25"/>
  <cols>
    <col min="1" max="1" width="94.125" bestFit="1" customWidth="1"/>
    <col min="2" max="2" width="22.625" bestFit="1" customWidth="1"/>
    <col min="3" max="3" width="11" bestFit="1" customWidth="1"/>
    <col min="4" max="4" width="108" bestFit="1" customWidth="1"/>
    <col min="5" max="5" width="197" bestFit="1" customWidth="1"/>
    <col min="6" max="6" width="120.125" bestFit="1" customWidth="1"/>
  </cols>
  <sheetData>
    <row r="1" spans="1:6" ht="15">
      <c r="A1" s="6" t="s">
        <v>6</v>
      </c>
      <c r="B1" s="6" t="s">
        <v>7</v>
      </c>
      <c r="C1" s="6" t="s">
        <v>8</v>
      </c>
      <c r="D1" s="6" t="s">
        <v>9</v>
      </c>
      <c r="E1" s="6" t="s">
        <v>10</v>
      </c>
      <c r="F1" s="6" t="s">
        <v>11</v>
      </c>
    </row>
    <row r="3" spans="1:6" ht="15">
      <c r="A3" s="36" t="s">
        <v>159</v>
      </c>
      <c r="B3" s="35"/>
      <c r="C3" s="35"/>
      <c r="D3" s="35"/>
      <c r="E3" s="35"/>
      <c r="F3" s="35"/>
    </row>
    <row r="4" spans="1:6">
      <c r="A4" s="35" t="s">
        <v>160</v>
      </c>
      <c r="B4" s="35">
        <v>1.2210000000000001</v>
      </c>
      <c r="C4" s="35" t="s">
        <v>17</v>
      </c>
      <c r="D4" s="35"/>
      <c r="E4" s="35"/>
      <c r="F4" s="35"/>
    </row>
    <row r="5" spans="1:6">
      <c r="A5" s="42" t="s">
        <v>305</v>
      </c>
      <c r="B5" s="35">
        <v>0.44500000000000001</v>
      </c>
      <c r="C5" s="35"/>
      <c r="D5" s="35" t="s">
        <v>306</v>
      </c>
      <c r="E5" s="35"/>
      <c r="F5" s="35"/>
    </row>
    <row r="6" spans="1:6">
      <c r="A6" s="42" t="s">
        <v>307</v>
      </c>
      <c r="B6" s="35">
        <v>0.52800000000000002</v>
      </c>
      <c r="C6" s="35"/>
      <c r="D6" s="35" t="s">
        <v>306</v>
      </c>
      <c r="E6" s="35"/>
      <c r="F6" s="35"/>
    </row>
    <row r="7" spans="1:6">
      <c r="A7" s="42" t="s">
        <v>308</v>
      </c>
      <c r="B7" s="35">
        <v>2.5999999999999999E-2</v>
      </c>
      <c r="C7" s="35"/>
      <c r="D7" s="35" t="s">
        <v>306</v>
      </c>
      <c r="E7" s="35"/>
      <c r="F7" s="35"/>
    </row>
    <row r="8" spans="1:6">
      <c r="A8" s="42" t="s">
        <v>309</v>
      </c>
      <c r="B8" s="35">
        <v>0.82199999999999995</v>
      </c>
      <c r="C8" s="35"/>
      <c r="D8" s="35" t="s">
        <v>306</v>
      </c>
      <c r="E8" s="35"/>
      <c r="F8" s="35"/>
    </row>
    <row r="9" spans="1:6">
      <c r="A9" s="35" t="s">
        <v>166</v>
      </c>
      <c r="B9" s="35">
        <v>4.3249999999999997E-2</v>
      </c>
      <c r="C9" s="35" t="s">
        <v>14</v>
      </c>
      <c r="D9" s="35" t="s">
        <v>167</v>
      </c>
      <c r="E9" s="35"/>
      <c r="F9" s="35"/>
    </row>
    <row r="10" spans="1:6">
      <c r="A10" s="42" t="s">
        <v>168</v>
      </c>
      <c r="B10" s="35">
        <f>B16/27</f>
        <v>0.76666666666666661</v>
      </c>
      <c r="C10" s="35"/>
      <c r="D10" s="35" t="s">
        <v>169</v>
      </c>
      <c r="E10" s="35" t="s">
        <v>310</v>
      </c>
      <c r="F10" s="35"/>
    </row>
    <row r="11" spans="1:6">
      <c r="A11" s="42" t="s">
        <v>311</v>
      </c>
      <c r="B11" s="35">
        <f>25.4*4</f>
        <v>101.6</v>
      </c>
      <c r="C11" s="35" t="s">
        <v>171</v>
      </c>
      <c r="D11" s="35" t="s">
        <v>312</v>
      </c>
      <c r="E11" s="35"/>
      <c r="F11" s="35"/>
    </row>
    <row r="12" spans="1:6">
      <c r="A12" s="42" t="s">
        <v>313</v>
      </c>
      <c r="B12" s="35">
        <v>0.28039999999999998</v>
      </c>
      <c r="C12" s="35" t="s">
        <v>174</v>
      </c>
      <c r="D12" s="35" t="s">
        <v>314</v>
      </c>
      <c r="E12" s="35"/>
      <c r="F12" s="35"/>
    </row>
    <row r="13" spans="1:6">
      <c r="A13" s="35" t="s">
        <v>22</v>
      </c>
      <c r="B13" s="35">
        <v>1.53579</v>
      </c>
      <c r="C13" s="35" t="s">
        <v>23</v>
      </c>
      <c r="D13" s="35"/>
      <c r="E13" s="35"/>
      <c r="F13" s="35"/>
    </row>
    <row r="14" spans="1:6">
      <c r="A14" s="35" t="s">
        <v>24</v>
      </c>
      <c r="B14" s="35">
        <v>2.513E-2</v>
      </c>
      <c r="C14" s="35" t="s">
        <v>23</v>
      </c>
      <c r="D14" s="35"/>
      <c r="E14" s="35"/>
      <c r="F14" s="35"/>
    </row>
    <row r="15" spans="1:6">
      <c r="A15" s="35" t="s">
        <v>315</v>
      </c>
      <c r="B15" s="35">
        <v>0.85</v>
      </c>
      <c r="C15" s="35"/>
      <c r="D15" s="35"/>
      <c r="E15" s="35"/>
      <c r="F15" s="35"/>
    </row>
    <row r="16" spans="1:6">
      <c r="A16" s="35" t="s">
        <v>316</v>
      </c>
      <c r="B16" s="35">
        <v>20.7</v>
      </c>
      <c r="C16" s="35"/>
      <c r="D16" s="35"/>
      <c r="E16" s="35"/>
      <c r="F16" s="35"/>
    </row>
    <row r="18" spans="1:6" ht="15">
      <c r="A18" s="34" t="s">
        <v>178</v>
      </c>
      <c r="B18" s="28"/>
      <c r="C18" s="28"/>
      <c r="D18" s="28"/>
      <c r="E18" s="28"/>
      <c r="F18" s="28"/>
    </row>
    <row r="19" spans="1:6" ht="15">
      <c r="A19" s="27" t="s">
        <v>44</v>
      </c>
      <c r="B19" s="28"/>
      <c r="C19" s="28"/>
      <c r="D19" s="28"/>
      <c r="E19" s="28"/>
      <c r="F19" s="28"/>
    </row>
    <row r="20" spans="1:6">
      <c r="A20" s="28" t="s">
        <v>45</v>
      </c>
      <c r="B20" s="28">
        <v>1</v>
      </c>
      <c r="C20" s="28" t="s">
        <v>46</v>
      </c>
      <c r="D20" s="28"/>
      <c r="E20" s="28"/>
      <c r="F20" s="28"/>
    </row>
    <row r="21" spans="1:6">
      <c r="A21" s="28" t="s">
        <v>47</v>
      </c>
      <c r="B21" s="28">
        <v>0.15650723831737146</v>
      </c>
      <c r="C21" s="28" t="s">
        <v>46</v>
      </c>
      <c r="D21" s="28"/>
      <c r="E21" s="28"/>
      <c r="F21" s="28"/>
    </row>
    <row r="22" spans="1:6">
      <c r="A22" s="28" t="s">
        <v>48</v>
      </c>
      <c r="B22" s="28">
        <v>1</v>
      </c>
      <c r="C22" s="28" t="s">
        <v>46</v>
      </c>
      <c r="D22" s="28"/>
      <c r="E22" s="28"/>
      <c r="F22" s="28"/>
    </row>
    <row r="23" spans="1:6">
      <c r="A23" s="28" t="s">
        <v>49</v>
      </c>
      <c r="B23" s="28">
        <v>6.2279044296606232</v>
      </c>
      <c r="C23" s="28" t="s">
        <v>46</v>
      </c>
      <c r="D23" s="28"/>
      <c r="E23" s="28"/>
      <c r="F23" s="28"/>
    </row>
    <row r="24" spans="1:6">
      <c r="A24" s="28" t="s">
        <v>51</v>
      </c>
      <c r="B24" s="28">
        <v>-6.2279044296606232</v>
      </c>
      <c r="C24" s="28" t="s">
        <v>50</v>
      </c>
      <c r="D24" s="28"/>
      <c r="E24" s="28"/>
      <c r="F24" s="28" t="s">
        <v>52</v>
      </c>
    </row>
    <row r="25" spans="1:6">
      <c r="A25" s="28" t="s">
        <v>53</v>
      </c>
      <c r="B25" s="28">
        <v>1</v>
      </c>
      <c r="C25" s="28" t="s">
        <v>46</v>
      </c>
      <c r="D25" s="28"/>
      <c r="E25" s="28"/>
      <c r="F25" s="28"/>
    </row>
    <row r="26" spans="1:6">
      <c r="A26" s="28" t="s">
        <v>179</v>
      </c>
      <c r="B26" s="28">
        <v>1</v>
      </c>
      <c r="C26" s="28" t="s">
        <v>46</v>
      </c>
      <c r="D26" s="28"/>
      <c r="E26" s="28"/>
      <c r="F26" s="28"/>
    </row>
    <row r="27" spans="1:6">
      <c r="A27" s="28" t="s">
        <v>180</v>
      </c>
      <c r="B27" s="28">
        <v>1</v>
      </c>
      <c r="C27" s="28" t="s">
        <v>46</v>
      </c>
      <c r="D27" s="28"/>
      <c r="E27" s="28"/>
      <c r="F27" s="28"/>
    </row>
    <row r="28" spans="1:6" ht="15">
      <c r="A28" s="28" t="s">
        <v>181</v>
      </c>
      <c r="B28" s="29">
        <f>B61*B10/B9</f>
        <v>0.66655684007707139</v>
      </c>
      <c r="C28" s="28" t="s">
        <v>46</v>
      </c>
      <c r="D28" s="28"/>
      <c r="E28" s="27"/>
      <c r="F28" s="28"/>
    </row>
    <row r="29" spans="1:6">
      <c r="A29" s="28" t="s">
        <v>182</v>
      </c>
      <c r="B29" s="29">
        <f>-B28</f>
        <v>-0.66655684007707139</v>
      </c>
      <c r="C29" s="28" t="s">
        <v>50</v>
      </c>
      <c r="D29" s="28"/>
      <c r="E29" s="28"/>
      <c r="F29" s="28" t="s">
        <v>183</v>
      </c>
    </row>
    <row r="30" spans="1:6">
      <c r="A30" s="28" t="s">
        <v>184</v>
      </c>
      <c r="B30" s="28">
        <v>1</v>
      </c>
      <c r="C30" s="28" t="s">
        <v>46</v>
      </c>
      <c r="D30" s="28"/>
      <c r="E30" s="28"/>
      <c r="F30" s="28"/>
    </row>
    <row r="31" spans="1:6">
      <c r="A31" s="28" t="s">
        <v>185</v>
      </c>
      <c r="B31" s="29">
        <f>(B220/1000)/B13</f>
        <v>9.735496836728981E-3</v>
      </c>
      <c r="C31" s="28" t="s">
        <v>46</v>
      </c>
      <c r="D31" s="28"/>
      <c r="E31" s="28"/>
      <c r="F31" s="28"/>
    </row>
    <row r="32" spans="1:6">
      <c r="A32" s="28" t="s">
        <v>186</v>
      </c>
      <c r="B32" s="29">
        <f>B31/B14</f>
        <v>0.3874053655682046</v>
      </c>
      <c r="C32" s="28" t="s">
        <v>46</v>
      </c>
      <c r="D32" s="28"/>
      <c r="E32" s="28"/>
      <c r="F32" s="28"/>
    </row>
    <row r="33" spans="1:6">
      <c r="A33" s="28" t="s">
        <v>187</v>
      </c>
      <c r="B33" s="29">
        <f>-B32</f>
        <v>-0.3874053655682046</v>
      </c>
      <c r="C33" s="28" t="s">
        <v>50</v>
      </c>
      <c r="D33" s="28"/>
      <c r="E33" s="28"/>
      <c r="F33" s="28" t="s">
        <v>52</v>
      </c>
    </row>
    <row r="34" spans="1:6">
      <c r="A34" s="28"/>
      <c r="B34" s="28"/>
      <c r="C34" s="28"/>
      <c r="D34" s="28"/>
      <c r="E34" s="28"/>
      <c r="F34" s="28"/>
    </row>
    <row r="35" spans="1:6" ht="15">
      <c r="A35" s="27" t="s">
        <v>61</v>
      </c>
      <c r="B35" s="28"/>
      <c r="C35" s="28"/>
      <c r="D35" s="28"/>
      <c r="E35" s="28"/>
      <c r="F35" s="28"/>
    </row>
    <row r="36" spans="1:6">
      <c r="A36" s="28" t="s">
        <v>62</v>
      </c>
      <c r="B36" s="28">
        <v>1</v>
      </c>
      <c r="C36" s="28" t="s">
        <v>14</v>
      </c>
      <c r="D36" s="28"/>
      <c r="E36" s="28"/>
      <c r="F36" s="28"/>
    </row>
    <row r="38" spans="1:6" ht="15">
      <c r="A38" s="1" t="s">
        <v>317</v>
      </c>
    </row>
    <row r="39" spans="1:6">
      <c r="A39" s="19" t="s">
        <v>318</v>
      </c>
      <c r="B39" s="20">
        <v>0.50700000000000001</v>
      </c>
      <c r="C39" s="19" t="s">
        <v>14</v>
      </c>
      <c r="D39" s="19"/>
      <c r="E39" s="19"/>
      <c r="F39" s="19"/>
    </row>
    <row r="40" spans="1:6">
      <c r="A40" s="19" t="s">
        <v>319</v>
      </c>
      <c r="B40" s="19">
        <f>B39*(1-B15)</f>
        <v>7.6050000000000006E-2</v>
      </c>
      <c r="C40" s="19" t="s">
        <v>14</v>
      </c>
      <c r="D40" s="19"/>
      <c r="E40" s="19" t="s">
        <v>320</v>
      </c>
      <c r="F40" s="19"/>
    </row>
    <row r="42" spans="1:6" ht="15">
      <c r="A42" s="15" t="s">
        <v>195</v>
      </c>
      <c r="B42" s="16"/>
      <c r="C42" s="16"/>
      <c r="D42" s="16"/>
      <c r="E42" s="16"/>
      <c r="F42" s="16"/>
    </row>
    <row r="43" spans="1:6" ht="15">
      <c r="A43" s="15" t="s">
        <v>44</v>
      </c>
      <c r="B43" s="16"/>
      <c r="C43" s="16"/>
      <c r="D43" s="16"/>
      <c r="E43" s="16"/>
      <c r="F43" s="16"/>
    </row>
    <row r="44" spans="1:6">
      <c r="A44" s="16" t="s">
        <v>64</v>
      </c>
      <c r="B44" s="17">
        <f>0.3*B39</f>
        <v>0.15209999999999999</v>
      </c>
      <c r="C44" s="16" t="s">
        <v>65</v>
      </c>
      <c r="D44" s="16"/>
      <c r="E44" s="16" t="s">
        <v>321</v>
      </c>
      <c r="F44" s="16" t="s">
        <v>68</v>
      </c>
    </row>
    <row r="45" spans="1:6">
      <c r="A45" s="16" t="s">
        <v>99</v>
      </c>
      <c r="B45" s="17">
        <v>2.2222222222222223E-5</v>
      </c>
      <c r="C45" s="16" t="s">
        <v>70</v>
      </c>
      <c r="D45" s="16"/>
      <c r="E45" s="16" t="s">
        <v>198</v>
      </c>
      <c r="F45" s="16" t="s">
        <v>72</v>
      </c>
    </row>
    <row r="46" spans="1:6">
      <c r="A46" s="16"/>
      <c r="B46" s="16"/>
      <c r="C46" s="16"/>
      <c r="D46" s="16"/>
      <c r="E46" s="16"/>
      <c r="F46" s="16"/>
    </row>
    <row r="47" spans="1:6" ht="15">
      <c r="A47" s="15" t="s">
        <v>61</v>
      </c>
      <c r="B47" s="16"/>
      <c r="C47" s="16"/>
      <c r="D47" s="16"/>
      <c r="E47" s="16"/>
      <c r="F47" s="16"/>
    </row>
    <row r="48" spans="1:6">
      <c r="A48" s="16" t="s">
        <v>202</v>
      </c>
      <c r="B48" s="16">
        <v>1</v>
      </c>
      <c r="C48" s="16" t="s">
        <v>46</v>
      </c>
      <c r="D48" s="16"/>
      <c r="E48" s="16"/>
      <c r="F48" s="16"/>
    </row>
    <row r="49" spans="1:6">
      <c r="A49" s="16" t="s">
        <v>203</v>
      </c>
      <c r="B49" s="17">
        <f>B40*B5/(1-B8)</f>
        <v>0.19012499999999996</v>
      </c>
      <c r="C49" s="16" t="s">
        <v>14</v>
      </c>
      <c r="D49" s="16"/>
      <c r="E49" s="16"/>
      <c r="F49" s="16"/>
    </row>
    <row r="50" spans="1:6">
      <c r="A50" s="16" t="s">
        <v>204</v>
      </c>
      <c r="B50" s="17">
        <f>(B39)-(B49+B51+B52)</f>
        <v>0.31489770000000006</v>
      </c>
      <c r="C50" s="16" t="s">
        <v>14</v>
      </c>
      <c r="D50" s="16"/>
      <c r="E50" s="16"/>
      <c r="F50" s="16"/>
    </row>
    <row r="51" spans="1:6">
      <c r="A51" s="16" t="s">
        <v>92</v>
      </c>
      <c r="B51" s="17">
        <f>B40*B7*0.95</f>
        <v>1.8784349999999999E-3</v>
      </c>
      <c r="C51" s="16" t="s">
        <v>14</v>
      </c>
      <c r="D51" s="16"/>
      <c r="E51" s="16" t="s">
        <v>205</v>
      </c>
      <c r="F51" s="16"/>
    </row>
    <row r="52" spans="1:6">
      <c r="A52" s="16" t="s">
        <v>133</v>
      </c>
      <c r="B52" s="17">
        <f>B40*B7*0.05</f>
        <v>9.886500000000001E-5</v>
      </c>
      <c r="C52" s="16" t="s">
        <v>14</v>
      </c>
      <c r="D52" s="16"/>
      <c r="E52" s="16"/>
      <c r="F52" s="16"/>
    </row>
    <row r="54" spans="1:6" ht="15">
      <c r="A54" s="12" t="s">
        <v>206</v>
      </c>
      <c r="B54" s="11"/>
      <c r="C54" s="11"/>
      <c r="D54" s="11"/>
      <c r="E54" s="11"/>
      <c r="F54" s="11"/>
    </row>
    <row r="55" spans="1:6" ht="15">
      <c r="A55" s="12" t="s">
        <v>44</v>
      </c>
      <c r="B55" s="11"/>
      <c r="C55" s="11"/>
      <c r="D55" s="11"/>
      <c r="E55" s="11"/>
      <c r="F55" s="11"/>
    </row>
    <row r="56" spans="1:6">
      <c r="A56" s="11" t="s">
        <v>64</v>
      </c>
      <c r="B56" s="14">
        <f>(B49 - (B49 * (1 - B8) / (1 - 0.1))) * (2260 / (0.7 * 3600))</f>
        <v>0.13678605158730156</v>
      </c>
      <c r="C56" s="11" t="s">
        <v>65</v>
      </c>
      <c r="D56" s="11"/>
      <c r="E56" s="11" t="s">
        <v>207</v>
      </c>
      <c r="F56" s="11" t="s">
        <v>68</v>
      </c>
    </row>
    <row r="57" spans="1:6">
      <c r="A57" s="11" t="s">
        <v>208</v>
      </c>
      <c r="B57" s="14">
        <v>2.1367521367521368E-5</v>
      </c>
      <c r="C57" s="11" t="s">
        <v>14</v>
      </c>
      <c r="D57" s="11"/>
      <c r="E57" s="11" t="s">
        <v>209</v>
      </c>
      <c r="F57" s="11" t="s">
        <v>72</v>
      </c>
    </row>
    <row r="58" spans="1:6">
      <c r="A58" s="11"/>
      <c r="B58" s="11"/>
      <c r="C58" s="11"/>
      <c r="D58" s="11"/>
      <c r="E58" s="11"/>
      <c r="F58" s="11"/>
    </row>
    <row r="59" spans="1:6" ht="15">
      <c r="A59" s="12" t="s">
        <v>61</v>
      </c>
      <c r="B59" s="11"/>
      <c r="C59" s="11"/>
      <c r="D59" s="11"/>
      <c r="E59" s="11"/>
      <c r="F59" s="11"/>
    </row>
    <row r="60" spans="1:6">
      <c r="A60" s="11" t="s">
        <v>180</v>
      </c>
      <c r="B60" s="11">
        <v>1</v>
      </c>
      <c r="C60" s="11" t="s">
        <v>46</v>
      </c>
      <c r="D60" s="11"/>
      <c r="E60" s="11"/>
      <c r="F60" s="11"/>
    </row>
    <row r="61" spans="1:6">
      <c r="A61" s="11" t="s">
        <v>210</v>
      </c>
      <c r="B61" s="14">
        <f>(B49*(1-B8))/0.9</f>
        <v>3.7602500000000004E-2</v>
      </c>
      <c r="C61" s="11" t="s">
        <v>14</v>
      </c>
      <c r="D61" s="11"/>
      <c r="E61" s="11"/>
      <c r="F61" s="11"/>
    </row>
    <row r="62" spans="1:6">
      <c r="A62" s="11" t="s">
        <v>212</v>
      </c>
      <c r="B62" s="14">
        <f>(B49-B61)/1000</f>
        <v>1.5252249999999994E-4</v>
      </c>
      <c r="C62" s="11" t="s">
        <v>23</v>
      </c>
      <c r="D62" s="11"/>
      <c r="E62" s="11" t="s">
        <v>322</v>
      </c>
      <c r="F62" s="11" t="s">
        <v>104</v>
      </c>
    </row>
    <row r="64" spans="1:6" ht="15">
      <c r="A64" s="21" t="s">
        <v>213</v>
      </c>
      <c r="B64" s="22"/>
      <c r="C64" s="22"/>
      <c r="D64" s="21" t="s">
        <v>167</v>
      </c>
      <c r="E64" s="22"/>
      <c r="F64" s="22"/>
    </row>
    <row r="65" spans="1:6" ht="15">
      <c r="A65" s="21" t="s">
        <v>44</v>
      </c>
      <c r="B65" s="22"/>
      <c r="C65" s="22"/>
      <c r="D65" s="22"/>
      <c r="E65" s="22"/>
      <c r="F65" s="22"/>
    </row>
    <row r="66" spans="1:6">
      <c r="A66" s="22" t="s">
        <v>85</v>
      </c>
      <c r="B66" s="22">
        <v>5.2249999999999996E-3</v>
      </c>
      <c r="C66" s="22" t="s">
        <v>86</v>
      </c>
      <c r="D66" s="22"/>
      <c r="E66" s="22"/>
      <c r="F66" s="22" t="s">
        <v>68</v>
      </c>
    </row>
    <row r="67" spans="1:6">
      <c r="A67" s="22" t="s">
        <v>214</v>
      </c>
      <c r="B67" s="22">
        <v>9.3749999999999997E-3</v>
      </c>
      <c r="C67" s="22" t="s">
        <v>14</v>
      </c>
      <c r="D67" s="22"/>
      <c r="E67" s="22"/>
      <c r="F67" s="22" t="s">
        <v>215</v>
      </c>
    </row>
    <row r="68" spans="1:6">
      <c r="A68" s="22" t="s">
        <v>216</v>
      </c>
      <c r="B68" s="23">
        <v>6.9499999999999998E-10</v>
      </c>
      <c r="C68" s="22" t="s">
        <v>46</v>
      </c>
      <c r="D68" s="22"/>
      <c r="E68" s="22"/>
      <c r="F68" s="22" t="s">
        <v>217</v>
      </c>
    </row>
    <row r="69" spans="1:6">
      <c r="A69" s="22"/>
      <c r="B69" s="23"/>
      <c r="C69" s="22"/>
      <c r="D69" s="22"/>
      <c r="E69" s="22"/>
      <c r="F69" s="22"/>
    </row>
    <row r="70" spans="1:6" ht="15">
      <c r="A70" s="21" t="s">
        <v>61</v>
      </c>
      <c r="B70" s="22"/>
      <c r="C70" s="22"/>
      <c r="D70" s="22"/>
      <c r="E70" s="22"/>
      <c r="F70" s="22"/>
    </row>
    <row r="71" spans="1:6">
      <c r="A71" s="22" t="s">
        <v>218</v>
      </c>
      <c r="B71" s="22">
        <v>1</v>
      </c>
      <c r="C71" s="22" t="s">
        <v>46</v>
      </c>
      <c r="D71" s="22"/>
      <c r="E71" s="22"/>
      <c r="F71" s="22"/>
    </row>
    <row r="72" spans="1:6">
      <c r="A72" s="22" t="s">
        <v>219</v>
      </c>
      <c r="B72" s="22">
        <v>0</v>
      </c>
      <c r="C72" s="22" t="s">
        <v>50</v>
      </c>
      <c r="D72" s="22"/>
      <c r="E72" s="22" t="s">
        <v>220</v>
      </c>
      <c r="F72" s="22"/>
    </row>
    <row r="73" spans="1:6">
      <c r="A73" s="22" t="s">
        <v>221</v>
      </c>
      <c r="B73" s="22">
        <v>3.6250000000000002E-3</v>
      </c>
      <c r="C73" s="22" t="s">
        <v>14</v>
      </c>
      <c r="D73" s="22"/>
      <c r="E73" s="22"/>
      <c r="F73" s="22" t="s">
        <v>223</v>
      </c>
    </row>
    <row r="74" spans="1:6">
      <c r="A74" s="22" t="s">
        <v>224</v>
      </c>
      <c r="B74" s="23">
        <v>6.2500000000000005E-7</v>
      </c>
      <c r="C74" s="22" t="s">
        <v>14</v>
      </c>
      <c r="D74" s="22"/>
      <c r="E74" s="22"/>
      <c r="F74" s="22"/>
    </row>
    <row r="75" spans="1:6">
      <c r="A75" s="22" t="s">
        <v>226</v>
      </c>
      <c r="B75" s="23">
        <v>1.3375E-5</v>
      </c>
      <c r="C75" s="22" t="s">
        <v>14</v>
      </c>
      <c r="D75" s="22"/>
      <c r="E75" s="22"/>
      <c r="F75" s="22"/>
    </row>
    <row r="76" spans="1:6">
      <c r="A76" s="22" t="s">
        <v>227</v>
      </c>
      <c r="B76" s="23">
        <v>1.9749999999999999E-9</v>
      </c>
      <c r="C76" s="22" t="s">
        <v>14</v>
      </c>
      <c r="D76" s="22"/>
      <c r="E76" s="22"/>
      <c r="F76" s="22"/>
    </row>
    <row r="77" spans="1:6">
      <c r="A77" s="22" t="s">
        <v>228</v>
      </c>
      <c r="B77" s="23">
        <v>1.575E-7</v>
      </c>
      <c r="C77" s="22" t="s">
        <v>14</v>
      </c>
      <c r="D77" s="22"/>
      <c r="E77" s="22"/>
      <c r="F77" s="22"/>
    </row>
    <row r="78" spans="1:6">
      <c r="A78" s="22" t="s">
        <v>229</v>
      </c>
      <c r="B78" s="23">
        <v>1.575E-9</v>
      </c>
      <c r="C78" s="22" t="s">
        <v>14</v>
      </c>
      <c r="D78" s="22"/>
      <c r="E78" s="22"/>
      <c r="F78" s="22"/>
    </row>
    <row r="79" spans="1:6">
      <c r="A79" s="22" t="s">
        <v>230</v>
      </c>
      <c r="B79" s="23">
        <v>5.9250000000000004E-7</v>
      </c>
      <c r="C79" s="22" t="s">
        <v>14</v>
      </c>
      <c r="D79" s="22"/>
      <c r="E79" s="22"/>
      <c r="F79" s="22"/>
    </row>
    <row r="80" spans="1:6">
      <c r="A80" s="22" t="s">
        <v>231</v>
      </c>
      <c r="B80" s="23">
        <v>1.185E-8</v>
      </c>
      <c r="C80" s="22" t="s">
        <v>14</v>
      </c>
      <c r="D80" s="22"/>
      <c r="E80" s="22"/>
      <c r="F80" s="22"/>
    </row>
    <row r="81" spans="1:6">
      <c r="A81" s="22" t="s">
        <v>232</v>
      </c>
      <c r="B81" s="23">
        <v>1.9749999999999999E-9</v>
      </c>
      <c r="C81" s="22" t="s">
        <v>14</v>
      </c>
      <c r="D81" s="22"/>
      <c r="E81" s="22"/>
      <c r="F81" s="22"/>
    </row>
    <row r="82" spans="1:6">
      <c r="A82" s="22" t="s">
        <v>233</v>
      </c>
      <c r="B82" s="23">
        <v>1.575E-6</v>
      </c>
      <c r="C82" s="22" t="s">
        <v>14</v>
      </c>
      <c r="D82" s="22"/>
      <c r="E82" s="22"/>
      <c r="F82" s="22"/>
    </row>
    <row r="83" spans="1:6">
      <c r="A83" s="22" t="s">
        <v>92</v>
      </c>
      <c r="B83" s="22">
        <v>0.114375</v>
      </c>
      <c r="C83" s="22" t="s">
        <v>14</v>
      </c>
      <c r="D83" s="22"/>
      <c r="E83" s="22"/>
      <c r="F83" s="22"/>
    </row>
    <row r="84" spans="1:6">
      <c r="A84" s="22" t="s">
        <v>133</v>
      </c>
      <c r="B84" s="23">
        <v>1.25E-4</v>
      </c>
      <c r="C84" s="22" t="s">
        <v>14</v>
      </c>
      <c r="D84" s="22"/>
      <c r="E84" s="22"/>
      <c r="F84" s="22"/>
    </row>
    <row r="85" spans="1:6">
      <c r="A85" s="22" t="s">
        <v>234</v>
      </c>
      <c r="B85" s="23">
        <v>2.8124999999999999E-8</v>
      </c>
      <c r="C85" s="22" t="s">
        <v>14</v>
      </c>
      <c r="D85" s="22"/>
      <c r="E85" s="22"/>
      <c r="F85" s="22"/>
    </row>
    <row r="86" spans="1:6">
      <c r="A86" s="22" t="s">
        <v>235</v>
      </c>
      <c r="B86" s="23">
        <v>3.4750000000000001E-9</v>
      </c>
      <c r="C86" s="22" t="s">
        <v>14</v>
      </c>
      <c r="D86" s="22"/>
      <c r="E86" s="22"/>
      <c r="F86" s="22"/>
    </row>
    <row r="87" spans="1:6">
      <c r="A87" s="22" t="s">
        <v>236</v>
      </c>
      <c r="B87" s="23">
        <v>3.9499999999999998E-9</v>
      </c>
      <c r="C87" s="22" t="s">
        <v>14</v>
      </c>
      <c r="D87" s="22"/>
      <c r="E87" s="22"/>
      <c r="F87" s="22"/>
    </row>
    <row r="88" spans="1:6">
      <c r="A88" s="22" t="s">
        <v>237</v>
      </c>
      <c r="B88" s="23">
        <v>2.0750000000000001E-8</v>
      </c>
      <c r="C88" s="22" t="s">
        <v>14</v>
      </c>
      <c r="D88" s="22"/>
      <c r="E88" s="22"/>
      <c r="F88" s="22"/>
    </row>
    <row r="89" spans="1:6">
      <c r="A89" s="22" t="s">
        <v>93</v>
      </c>
      <c r="B89" s="23">
        <v>1.2500000000000001E-6</v>
      </c>
      <c r="C89" s="22" t="s">
        <v>14</v>
      </c>
      <c r="D89" s="22"/>
      <c r="E89" s="22"/>
      <c r="F89" s="22"/>
    </row>
    <row r="90" spans="1:6">
      <c r="A90" s="22" t="s">
        <v>134</v>
      </c>
      <c r="B90" s="23">
        <v>2.5000000000000001E-14</v>
      </c>
      <c r="C90" s="22" t="s">
        <v>14</v>
      </c>
      <c r="D90" s="22"/>
      <c r="E90" s="22"/>
      <c r="F90" s="22"/>
    </row>
    <row r="91" spans="1:6">
      <c r="A91" s="22" t="s">
        <v>135</v>
      </c>
      <c r="B91" s="23">
        <v>9.9999999999999995E-8</v>
      </c>
      <c r="C91" s="22" t="s">
        <v>14</v>
      </c>
      <c r="D91" s="22"/>
      <c r="E91" s="22"/>
      <c r="F91" s="22"/>
    </row>
    <row r="92" spans="1:6">
      <c r="A92" s="22" t="s">
        <v>238</v>
      </c>
      <c r="B92" s="23">
        <v>6.2500000000000005E-7</v>
      </c>
      <c r="C92" s="22" t="s">
        <v>14</v>
      </c>
      <c r="D92" s="22"/>
      <c r="E92" s="22"/>
      <c r="F92" s="22"/>
    </row>
    <row r="93" spans="1:6">
      <c r="A93" s="22" t="s">
        <v>239</v>
      </c>
      <c r="B93" s="23">
        <v>6.2500000000000005E-7</v>
      </c>
      <c r="C93" s="22" t="s">
        <v>14</v>
      </c>
      <c r="D93" s="22"/>
      <c r="E93" s="22"/>
      <c r="F93" s="22"/>
    </row>
    <row r="94" spans="1:6">
      <c r="A94" s="22" t="s">
        <v>240</v>
      </c>
      <c r="B94" s="23">
        <v>5.0624999999999997E-5</v>
      </c>
      <c r="C94" s="22" t="s">
        <v>14</v>
      </c>
      <c r="D94" s="22"/>
      <c r="E94" s="22"/>
      <c r="F94" s="22"/>
    </row>
    <row r="95" spans="1:6">
      <c r="A95" s="22" t="s">
        <v>241</v>
      </c>
      <c r="B95" s="23">
        <v>1.575E-6</v>
      </c>
      <c r="C95" s="22" t="s">
        <v>14</v>
      </c>
      <c r="D95" s="22"/>
      <c r="E95" s="22"/>
      <c r="F95" s="22"/>
    </row>
    <row r="96" spans="1:6">
      <c r="A96" s="22" t="s">
        <v>242</v>
      </c>
      <c r="B96" s="23">
        <v>1.425E-8</v>
      </c>
      <c r="C96" s="22" t="s">
        <v>14</v>
      </c>
      <c r="D96" s="22"/>
      <c r="E96" s="22"/>
      <c r="F96" s="22"/>
    </row>
    <row r="97" spans="1:6">
      <c r="A97" s="22" t="s">
        <v>243</v>
      </c>
      <c r="B97" s="23">
        <v>5.5249999999999996E-6</v>
      </c>
      <c r="C97" s="22" t="s">
        <v>14</v>
      </c>
      <c r="D97" s="22"/>
      <c r="E97" s="22"/>
      <c r="F97" s="22"/>
    </row>
    <row r="98" spans="1:6">
      <c r="A98" s="22" t="s">
        <v>244</v>
      </c>
      <c r="B98" s="23">
        <v>4.7375E-6</v>
      </c>
      <c r="C98" s="22" t="s">
        <v>14</v>
      </c>
      <c r="D98" s="22"/>
      <c r="E98" s="22"/>
      <c r="F98" s="22"/>
    </row>
    <row r="99" spans="1:6">
      <c r="A99" s="22" t="s">
        <v>245</v>
      </c>
      <c r="B99" s="23">
        <v>2.7625000000000001E-8</v>
      </c>
      <c r="C99" s="22" t="s">
        <v>14</v>
      </c>
      <c r="D99" s="22"/>
      <c r="E99" s="22"/>
      <c r="F99" s="22"/>
    </row>
    <row r="100" spans="1:6">
      <c r="A100" s="22" t="s">
        <v>95</v>
      </c>
      <c r="B100" s="23">
        <v>1.2500000000000001E-5</v>
      </c>
      <c r="C100" s="22" t="s">
        <v>14</v>
      </c>
      <c r="D100" s="22"/>
      <c r="E100" s="22"/>
      <c r="F100" s="22"/>
    </row>
    <row r="101" spans="1:6">
      <c r="A101" s="22" t="s">
        <v>246</v>
      </c>
      <c r="B101" s="23">
        <v>5.9250000000000001E-9</v>
      </c>
      <c r="C101" s="22" t="s">
        <v>14</v>
      </c>
      <c r="D101" s="22"/>
      <c r="E101" s="22"/>
      <c r="F101" s="22"/>
    </row>
    <row r="102" spans="1:6">
      <c r="A102" s="22" t="s">
        <v>247</v>
      </c>
      <c r="B102" s="23">
        <v>2.3750000000000001E-8</v>
      </c>
      <c r="C102" s="22" t="s">
        <v>14</v>
      </c>
      <c r="D102" s="22"/>
      <c r="E102" s="22"/>
      <c r="F102" s="22"/>
    </row>
    <row r="103" spans="1:6">
      <c r="A103" s="22" t="s">
        <v>139</v>
      </c>
      <c r="B103" s="23">
        <v>2.5000000000000001E-4</v>
      </c>
      <c r="C103" s="22" t="s">
        <v>14</v>
      </c>
      <c r="D103" s="22"/>
      <c r="E103" s="22"/>
      <c r="F103" s="22"/>
    </row>
    <row r="104" spans="1:6">
      <c r="A104" s="22" t="s">
        <v>141</v>
      </c>
      <c r="B104" s="23">
        <v>2.5000000000000001E-5</v>
      </c>
      <c r="C104" s="22" t="s">
        <v>14</v>
      </c>
      <c r="D104" s="22"/>
      <c r="E104" s="22"/>
      <c r="F104" s="22"/>
    </row>
    <row r="105" spans="1:6">
      <c r="A105" s="22" t="s">
        <v>248</v>
      </c>
      <c r="B105" s="23">
        <v>1.2500000000000001E-5</v>
      </c>
      <c r="C105" s="22" t="s">
        <v>14</v>
      </c>
      <c r="D105" s="22"/>
      <c r="E105" s="22"/>
      <c r="F105" s="22"/>
    </row>
    <row r="106" spans="1:6">
      <c r="A106" s="22" t="s">
        <v>249</v>
      </c>
      <c r="B106" s="23">
        <v>2.5000000000000001E-5</v>
      </c>
      <c r="C106" s="22" t="s">
        <v>14</v>
      </c>
      <c r="D106" s="22"/>
      <c r="E106" s="22"/>
      <c r="F106" s="22"/>
    </row>
    <row r="107" spans="1:6">
      <c r="A107" s="22" t="s">
        <v>250</v>
      </c>
      <c r="B107" s="23">
        <v>7.9000000000000006E-8</v>
      </c>
      <c r="C107" s="22" t="s">
        <v>14</v>
      </c>
      <c r="D107" s="22"/>
      <c r="E107" s="22"/>
      <c r="F107" s="22"/>
    </row>
    <row r="108" spans="1:6">
      <c r="A108" s="22" t="s">
        <v>251</v>
      </c>
      <c r="B108" s="23">
        <v>1.575E-6</v>
      </c>
      <c r="C108" s="22" t="s">
        <v>14</v>
      </c>
      <c r="D108" s="22"/>
      <c r="E108" s="22"/>
      <c r="F108" s="22"/>
    </row>
    <row r="109" spans="1:6">
      <c r="A109" s="22" t="s">
        <v>252</v>
      </c>
      <c r="B109" s="23">
        <v>1.6875E-5</v>
      </c>
      <c r="C109" s="22" t="s">
        <v>253</v>
      </c>
      <c r="D109" s="22"/>
      <c r="E109" s="22"/>
      <c r="F109" s="22"/>
    </row>
    <row r="110" spans="1:6">
      <c r="A110" s="22" t="s">
        <v>254</v>
      </c>
      <c r="B110" s="23">
        <v>1.575E-9</v>
      </c>
      <c r="C110" s="22" t="s">
        <v>14</v>
      </c>
      <c r="D110" s="22"/>
      <c r="E110" s="22"/>
      <c r="F110" s="22"/>
    </row>
    <row r="111" spans="1:6">
      <c r="A111" s="22" t="s">
        <v>255</v>
      </c>
      <c r="B111" s="23">
        <v>1.185E-8</v>
      </c>
      <c r="C111" s="22" t="s">
        <v>14</v>
      </c>
      <c r="D111" s="22"/>
      <c r="E111" s="22"/>
      <c r="F111" s="22"/>
    </row>
    <row r="112" spans="1:6">
      <c r="A112" s="22" t="s">
        <v>256</v>
      </c>
      <c r="B112" s="23">
        <v>1.9749999999999999E-5</v>
      </c>
      <c r="C112" s="22" t="s">
        <v>14</v>
      </c>
      <c r="D112" s="22"/>
      <c r="E112" s="22"/>
      <c r="F112" s="22"/>
    </row>
    <row r="113" spans="1:6">
      <c r="A113" s="22" t="s">
        <v>257</v>
      </c>
      <c r="B113" s="23">
        <v>7.8999999999999995E-7</v>
      </c>
      <c r="C113" s="22" t="s">
        <v>14</v>
      </c>
      <c r="D113" s="22"/>
      <c r="E113" s="22"/>
      <c r="F113" s="22"/>
    </row>
    <row r="114" spans="1:6">
      <c r="A114" s="22" t="s">
        <v>258</v>
      </c>
      <c r="B114" s="23">
        <v>2.375E-7</v>
      </c>
      <c r="C114" s="22" t="s">
        <v>14</v>
      </c>
      <c r="D114" s="22"/>
      <c r="E114" s="22"/>
      <c r="F114" s="22"/>
    </row>
    <row r="115" spans="1:6">
      <c r="A115" s="38" t="s">
        <v>120</v>
      </c>
      <c r="B115" s="51">
        <v>4.7342995169082124E-4</v>
      </c>
      <c r="C115" s="38" t="s">
        <v>14</v>
      </c>
      <c r="D115" s="22"/>
      <c r="E115" s="22"/>
      <c r="F115" s="22"/>
    </row>
    <row r="116" spans="1:6">
      <c r="A116" s="22" t="s">
        <v>259</v>
      </c>
      <c r="B116" s="23">
        <v>1.9749999999999999E-9</v>
      </c>
      <c r="C116" s="22" t="s">
        <v>14</v>
      </c>
      <c r="D116" s="22"/>
      <c r="E116" s="22"/>
      <c r="F116" s="22"/>
    </row>
    <row r="117" spans="1:6">
      <c r="A117" s="22" t="s">
        <v>260</v>
      </c>
      <c r="B117" s="23">
        <v>7.8999999999999996E-10</v>
      </c>
      <c r="C117" s="22" t="s">
        <v>14</v>
      </c>
      <c r="D117" s="22"/>
      <c r="E117" s="22"/>
      <c r="F117" s="22"/>
    </row>
    <row r="118" spans="1:6">
      <c r="A118" s="22" t="s">
        <v>261</v>
      </c>
      <c r="B118" s="23">
        <v>4.7375000000000002E-7</v>
      </c>
      <c r="C118" s="22" t="s">
        <v>14</v>
      </c>
      <c r="D118" s="22"/>
      <c r="E118" s="22"/>
      <c r="F118" s="22"/>
    </row>
    <row r="119" spans="1:6">
      <c r="A119" s="22" t="s">
        <v>262</v>
      </c>
      <c r="B119" s="23">
        <v>4.7374999999999999E-8</v>
      </c>
      <c r="C119" s="22" t="s">
        <v>14</v>
      </c>
      <c r="D119" s="22"/>
      <c r="E119" s="22"/>
      <c r="F119" s="22"/>
    </row>
    <row r="120" spans="1:6">
      <c r="A120" s="22" t="s">
        <v>263</v>
      </c>
      <c r="B120" s="23">
        <v>1.125E-6</v>
      </c>
      <c r="C120" s="22" t="s">
        <v>23</v>
      </c>
      <c r="D120" s="22"/>
      <c r="E120" s="22"/>
      <c r="F120" s="22"/>
    </row>
    <row r="121" spans="1:6">
      <c r="A121" s="22" t="s">
        <v>263</v>
      </c>
      <c r="B121" s="23">
        <v>6.3749999999999999E-6</v>
      </c>
      <c r="C121" s="22" t="s">
        <v>23</v>
      </c>
      <c r="D121" s="22"/>
      <c r="E121" s="22"/>
      <c r="F121" s="22"/>
    </row>
    <row r="122" spans="1:6">
      <c r="A122" s="22" t="s">
        <v>264</v>
      </c>
      <c r="B122" s="23">
        <v>3.9499999999999998E-9</v>
      </c>
      <c r="C122" s="22" t="s">
        <v>14</v>
      </c>
      <c r="D122" s="22"/>
      <c r="E122" s="22"/>
      <c r="F122" s="22"/>
    </row>
    <row r="123" spans="1:6">
      <c r="A123" s="22" t="s">
        <v>265</v>
      </c>
      <c r="B123" s="23">
        <v>2.1500000000000002E-6</v>
      </c>
      <c r="C123" s="22" t="s">
        <v>14</v>
      </c>
      <c r="D123" s="22"/>
      <c r="E123" s="22"/>
      <c r="F123" s="22"/>
    </row>
    <row r="124" spans="1:6">
      <c r="A124" s="22" t="s">
        <v>266</v>
      </c>
      <c r="B124" s="23">
        <v>1.875E-6</v>
      </c>
      <c r="C124" s="22" t="s">
        <v>14</v>
      </c>
      <c r="D124" s="22"/>
      <c r="E124" s="22"/>
      <c r="F124" s="22"/>
    </row>
    <row r="125" spans="1:6">
      <c r="A125" s="22" t="s">
        <v>267</v>
      </c>
      <c r="B125" s="23">
        <v>3.7500000000000001E-6</v>
      </c>
      <c r="C125" s="22" t="s">
        <v>14</v>
      </c>
      <c r="D125" s="22"/>
      <c r="E125" s="22"/>
      <c r="F125" s="22"/>
    </row>
    <row r="126" spans="1:6">
      <c r="A126" s="22" t="s">
        <v>143</v>
      </c>
      <c r="B126" s="23">
        <v>1.2500000000000001E-6</v>
      </c>
      <c r="C126" s="22" t="s">
        <v>14</v>
      </c>
      <c r="D126" s="22"/>
      <c r="E126" s="22"/>
      <c r="F126" s="22"/>
    </row>
    <row r="127" spans="1:6">
      <c r="A127" s="22" t="s">
        <v>268</v>
      </c>
      <c r="B127" s="23">
        <v>6.2500000000000005E-7</v>
      </c>
      <c r="C127" s="22" t="s">
        <v>14</v>
      </c>
      <c r="D127" s="22"/>
      <c r="E127" s="22"/>
      <c r="F127" s="22"/>
    </row>
    <row r="128" spans="1:6">
      <c r="B128" s="3"/>
    </row>
    <row r="129" spans="1:6" ht="15">
      <c r="A129" s="15" t="s">
        <v>269</v>
      </c>
      <c r="B129" s="16"/>
      <c r="C129" s="16"/>
      <c r="D129" s="16"/>
      <c r="E129" s="16"/>
      <c r="F129" s="16"/>
    </row>
    <row r="130" spans="1:6" ht="15">
      <c r="A130" s="15" t="s">
        <v>44</v>
      </c>
      <c r="B130" s="16"/>
      <c r="C130" s="16"/>
      <c r="D130" s="16"/>
      <c r="E130" s="16"/>
      <c r="F130" s="16"/>
    </row>
    <row r="131" spans="1:6">
      <c r="A131" s="16" t="s">
        <v>85</v>
      </c>
      <c r="B131" s="16">
        <v>5.2249999999999996E-3</v>
      </c>
      <c r="C131" s="16" t="s">
        <v>86</v>
      </c>
      <c r="D131" s="16"/>
      <c r="E131" s="16"/>
      <c r="F131" s="16" t="s">
        <v>68</v>
      </c>
    </row>
    <row r="132" spans="1:6">
      <c r="A132" s="16" t="s">
        <v>270</v>
      </c>
      <c r="B132" s="16">
        <v>4.3249999999999997E-2</v>
      </c>
      <c r="C132" s="16" t="s">
        <v>14</v>
      </c>
      <c r="D132" s="16"/>
      <c r="E132" s="16"/>
      <c r="F132" s="16" t="s">
        <v>271</v>
      </c>
    </row>
    <row r="133" spans="1:6">
      <c r="A133" s="16" t="s">
        <v>216</v>
      </c>
      <c r="B133" s="17">
        <v>6.9499999999999998E-10</v>
      </c>
      <c r="C133" s="16" t="s">
        <v>46</v>
      </c>
      <c r="D133" s="16"/>
      <c r="E133" s="16"/>
      <c r="F133" s="16" t="s">
        <v>217</v>
      </c>
    </row>
    <row r="134" spans="1:6">
      <c r="A134" s="16" t="s">
        <v>214</v>
      </c>
      <c r="B134" s="16">
        <v>9.3749999999999997E-3</v>
      </c>
      <c r="C134" s="16" t="s">
        <v>14</v>
      </c>
      <c r="D134" s="16"/>
      <c r="E134" s="16"/>
      <c r="F134" s="16" t="s">
        <v>215</v>
      </c>
    </row>
    <row r="135" spans="1:6">
      <c r="A135" s="16"/>
      <c r="B135" s="16"/>
      <c r="C135" s="16"/>
      <c r="D135" s="16"/>
      <c r="E135" s="16"/>
      <c r="F135" s="16"/>
    </row>
    <row r="136" spans="1:6" ht="15">
      <c r="A136" s="15" t="s">
        <v>61</v>
      </c>
      <c r="B136" s="16"/>
      <c r="C136" s="16"/>
      <c r="D136" s="16"/>
      <c r="E136" s="16"/>
      <c r="F136" s="16"/>
    </row>
    <row r="137" spans="1:6">
      <c r="A137" s="16" t="s">
        <v>219</v>
      </c>
      <c r="B137" s="16">
        <v>1</v>
      </c>
      <c r="C137" s="16" t="s">
        <v>50</v>
      </c>
      <c r="D137" s="16"/>
      <c r="E137" s="16"/>
      <c r="F137" s="16"/>
    </row>
    <row r="138" spans="1:6">
      <c r="A138" s="16" t="s">
        <v>221</v>
      </c>
      <c r="B138" s="16">
        <v>3.6250000000000002E-3</v>
      </c>
      <c r="C138" s="16" t="s">
        <v>14</v>
      </c>
      <c r="D138" s="16"/>
      <c r="E138" s="16"/>
      <c r="F138" s="16" t="s">
        <v>223</v>
      </c>
    </row>
    <row r="139" spans="1:6">
      <c r="A139" s="16" t="s">
        <v>224</v>
      </c>
      <c r="B139" s="17">
        <v>6.2500000000000005E-7</v>
      </c>
      <c r="C139" s="16" t="s">
        <v>14</v>
      </c>
      <c r="D139" s="16"/>
      <c r="E139" s="16"/>
      <c r="F139" s="16"/>
    </row>
    <row r="140" spans="1:6">
      <c r="A140" s="16" t="s">
        <v>226</v>
      </c>
      <c r="B140" s="17">
        <v>1.3375E-5</v>
      </c>
      <c r="C140" s="16" t="s">
        <v>14</v>
      </c>
      <c r="D140" s="16"/>
      <c r="E140" s="16"/>
      <c r="F140" s="16"/>
    </row>
    <row r="141" spans="1:6">
      <c r="A141" s="16" t="s">
        <v>227</v>
      </c>
      <c r="B141" s="17">
        <v>1.9749999999999999E-9</v>
      </c>
      <c r="C141" s="16" t="s">
        <v>14</v>
      </c>
      <c r="D141" s="16"/>
      <c r="E141" s="16"/>
      <c r="F141" s="16"/>
    </row>
    <row r="142" spans="1:6">
      <c r="A142" s="16" t="s">
        <v>272</v>
      </c>
      <c r="B142" s="17">
        <v>3.1625E-8</v>
      </c>
      <c r="C142" s="16" t="s">
        <v>14</v>
      </c>
      <c r="D142" s="16"/>
      <c r="E142" s="16"/>
      <c r="F142" s="16"/>
    </row>
    <row r="143" spans="1:6">
      <c r="A143" s="16" t="s">
        <v>228</v>
      </c>
      <c r="B143" s="17">
        <v>1.575E-7</v>
      </c>
      <c r="C143" s="16" t="s">
        <v>14</v>
      </c>
      <c r="D143" s="16"/>
      <c r="E143" s="16"/>
      <c r="F143" s="16"/>
    </row>
    <row r="144" spans="1:6">
      <c r="A144" s="16" t="s">
        <v>130</v>
      </c>
      <c r="B144" s="17">
        <v>6.2500000000000005E-7</v>
      </c>
      <c r="C144" s="16" t="s">
        <v>14</v>
      </c>
      <c r="D144" s="16"/>
      <c r="E144" s="16"/>
      <c r="F144" s="16"/>
    </row>
    <row r="145" spans="1:6">
      <c r="A145" s="16" t="s">
        <v>131</v>
      </c>
      <c r="B145" s="17">
        <v>1.25E-11</v>
      </c>
      <c r="C145" s="16" t="s">
        <v>14</v>
      </c>
      <c r="D145" s="16"/>
      <c r="E145" s="16"/>
      <c r="F145" s="16"/>
    </row>
    <row r="146" spans="1:6">
      <c r="A146" s="16" t="s">
        <v>229</v>
      </c>
      <c r="B146" s="17">
        <v>1.575E-9</v>
      </c>
      <c r="C146" s="16" t="s">
        <v>14</v>
      </c>
      <c r="D146" s="16"/>
      <c r="E146" s="16"/>
      <c r="F146" s="16"/>
    </row>
    <row r="147" spans="1:6">
      <c r="A147" s="16" t="s">
        <v>230</v>
      </c>
      <c r="B147" s="17">
        <v>5.9250000000000004E-7</v>
      </c>
      <c r="C147" s="16" t="s">
        <v>14</v>
      </c>
      <c r="D147" s="16"/>
      <c r="E147" s="16"/>
      <c r="F147" s="16"/>
    </row>
    <row r="148" spans="1:6">
      <c r="A148" s="16" t="s">
        <v>231</v>
      </c>
      <c r="B148" s="17">
        <v>1.185E-8</v>
      </c>
      <c r="C148" s="16" t="s">
        <v>14</v>
      </c>
      <c r="D148" s="16"/>
      <c r="E148" s="16"/>
      <c r="F148" s="16"/>
    </row>
    <row r="149" spans="1:6">
      <c r="A149" s="16" t="s">
        <v>232</v>
      </c>
      <c r="B149" s="17">
        <v>1.9749999999999999E-9</v>
      </c>
      <c r="C149" s="16" t="s">
        <v>14</v>
      </c>
      <c r="D149" s="16"/>
      <c r="E149" s="16"/>
      <c r="F149" s="16"/>
    </row>
    <row r="150" spans="1:6">
      <c r="A150" s="16" t="s">
        <v>233</v>
      </c>
      <c r="B150" s="17">
        <v>1.575E-6</v>
      </c>
      <c r="C150" s="16" t="s">
        <v>14</v>
      </c>
      <c r="D150" s="16"/>
      <c r="E150" s="16"/>
      <c r="F150" s="16"/>
    </row>
    <row r="151" spans="1:6">
      <c r="A151" s="16" t="s">
        <v>153</v>
      </c>
      <c r="B151" s="16">
        <v>0.114375</v>
      </c>
      <c r="C151" s="16" t="s">
        <v>14</v>
      </c>
      <c r="D151" s="16"/>
      <c r="E151" s="16"/>
      <c r="F151" s="16"/>
    </row>
    <row r="152" spans="1:6">
      <c r="A152" s="16" t="s">
        <v>154</v>
      </c>
      <c r="B152" s="17">
        <v>1.25E-4</v>
      </c>
      <c r="C152" s="16" t="s">
        <v>14</v>
      </c>
      <c r="D152" s="16"/>
      <c r="E152" s="16"/>
      <c r="F152" s="16"/>
    </row>
    <row r="153" spans="1:6">
      <c r="A153" s="16" t="s">
        <v>234</v>
      </c>
      <c r="B153" s="17">
        <v>2.8124999999999999E-8</v>
      </c>
      <c r="C153" s="16" t="s">
        <v>14</v>
      </c>
      <c r="D153" s="16"/>
      <c r="E153" s="16"/>
      <c r="F153" s="16"/>
    </row>
    <row r="154" spans="1:6">
      <c r="A154" s="16" t="s">
        <v>235</v>
      </c>
      <c r="B154" s="17">
        <v>3.4750000000000001E-9</v>
      </c>
      <c r="C154" s="16" t="s">
        <v>14</v>
      </c>
      <c r="D154" s="16"/>
      <c r="E154" s="16"/>
      <c r="F154" s="16"/>
    </row>
    <row r="155" spans="1:6">
      <c r="A155" s="16" t="s">
        <v>236</v>
      </c>
      <c r="B155" s="17">
        <v>3.9499999999999998E-9</v>
      </c>
      <c r="C155" s="16" t="s">
        <v>14</v>
      </c>
      <c r="D155" s="16"/>
      <c r="E155" s="16"/>
      <c r="F155" s="16"/>
    </row>
    <row r="156" spans="1:6">
      <c r="A156" s="16" t="s">
        <v>237</v>
      </c>
      <c r="B156" s="17">
        <v>2.0750000000000001E-8</v>
      </c>
      <c r="C156" s="16" t="s">
        <v>14</v>
      </c>
      <c r="D156" s="16"/>
      <c r="E156" s="16"/>
      <c r="F156" s="16"/>
    </row>
    <row r="157" spans="1:6">
      <c r="A157" s="16" t="s">
        <v>93</v>
      </c>
      <c r="B157" s="17">
        <v>1.2500000000000001E-6</v>
      </c>
      <c r="C157" s="16" t="s">
        <v>14</v>
      </c>
      <c r="D157" s="16"/>
      <c r="E157" s="16"/>
      <c r="F157" s="16"/>
    </row>
    <row r="158" spans="1:6">
      <c r="A158" s="16" t="s">
        <v>134</v>
      </c>
      <c r="B158" s="17">
        <v>2.5000000000000001E-14</v>
      </c>
      <c r="C158" s="16" t="s">
        <v>14</v>
      </c>
      <c r="D158" s="16"/>
      <c r="E158" s="16"/>
      <c r="F158" s="16"/>
    </row>
    <row r="159" spans="1:6">
      <c r="A159" s="16" t="s">
        <v>266</v>
      </c>
      <c r="B159" s="17">
        <v>1.875E-6</v>
      </c>
      <c r="C159" s="16" t="s">
        <v>14</v>
      </c>
      <c r="D159" s="16"/>
      <c r="E159" s="16"/>
      <c r="F159" s="16"/>
    </row>
    <row r="160" spans="1:6">
      <c r="A160" s="16" t="s">
        <v>267</v>
      </c>
      <c r="B160" s="17">
        <v>3.7500000000000001E-6</v>
      </c>
      <c r="C160" s="16" t="s">
        <v>14</v>
      </c>
      <c r="D160" s="16"/>
      <c r="E160" s="16"/>
      <c r="F160" s="16"/>
    </row>
    <row r="161" spans="1:6">
      <c r="A161" s="16" t="s">
        <v>135</v>
      </c>
      <c r="B161" s="17">
        <v>9.9999999999999995E-8</v>
      </c>
      <c r="C161" s="16" t="s">
        <v>14</v>
      </c>
      <c r="D161" s="16"/>
      <c r="E161" s="16"/>
      <c r="F161" s="16"/>
    </row>
    <row r="162" spans="1:6">
      <c r="A162" s="16" t="s">
        <v>238</v>
      </c>
      <c r="B162" s="17">
        <v>6.2500000000000005E-7</v>
      </c>
      <c r="C162" s="16" t="s">
        <v>14</v>
      </c>
      <c r="D162" s="16"/>
      <c r="E162" s="16"/>
      <c r="F162" s="16"/>
    </row>
    <row r="163" spans="1:6">
      <c r="A163" s="16" t="s">
        <v>239</v>
      </c>
      <c r="B163" s="17">
        <v>6.2500000000000005E-7</v>
      </c>
      <c r="C163" s="16" t="s">
        <v>14</v>
      </c>
      <c r="D163" s="16"/>
      <c r="E163" s="16"/>
      <c r="F163" s="16"/>
    </row>
    <row r="164" spans="1:6">
      <c r="A164" s="16" t="s">
        <v>240</v>
      </c>
      <c r="B164" s="17">
        <v>5.0624999999999997E-5</v>
      </c>
      <c r="C164" s="16" t="s">
        <v>14</v>
      </c>
      <c r="D164" s="16"/>
      <c r="E164" s="16"/>
      <c r="F164" s="16"/>
    </row>
    <row r="165" spans="1:6">
      <c r="A165" s="16" t="s">
        <v>241</v>
      </c>
      <c r="B165" s="17">
        <v>1.575E-6</v>
      </c>
      <c r="C165" s="16" t="s">
        <v>14</v>
      </c>
      <c r="D165" s="16"/>
      <c r="E165" s="16"/>
      <c r="F165" s="16"/>
    </row>
    <row r="166" spans="1:6">
      <c r="A166" s="16" t="s">
        <v>242</v>
      </c>
      <c r="B166" s="17">
        <v>1.425E-8</v>
      </c>
      <c r="C166" s="16" t="s">
        <v>14</v>
      </c>
      <c r="D166" s="16"/>
      <c r="E166" s="16"/>
      <c r="F166" s="16"/>
    </row>
    <row r="167" spans="1:6">
      <c r="A167" s="16" t="s">
        <v>243</v>
      </c>
      <c r="B167" s="17">
        <v>5.5249999999999996E-6</v>
      </c>
      <c r="C167" s="16" t="s">
        <v>14</v>
      </c>
      <c r="D167" s="16"/>
      <c r="E167" s="16"/>
      <c r="F167" s="16"/>
    </row>
    <row r="168" spans="1:6">
      <c r="A168" s="16" t="s">
        <v>273</v>
      </c>
      <c r="B168" s="17">
        <v>9.4749999999999998E-8</v>
      </c>
      <c r="C168" s="16" t="s">
        <v>14</v>
      </c>
      <c r="D168" s="16"/>
      <c r="E168" s="16"/>
      <c r="F168" s="16"/>
    </row>
    <row r="169" spans="1:6">
      <c r="A169" s="16" t="s">
        <v>274</v>
      </c>
      <c r="B169" s="17">
        <v>5.8125000000000003E-5</v>
      </c>
      <c r="C169" s="16" t="s">
        <v>253</v>
      </c>
      <c r="D169" s="16"/>
      <c r="E169" s="16"/>
      <c r="F169" s="16"/>
    </row>
    <row r="170" spans="1:6">
      <c r="A170" s="16" t="s">
        <v>244</v>
      </c>
      <c r="B170" s="17">
        <v>4.7375E-6</v>
      </c>
      <c r="C170" s="16" t="s">
        <v>14</v>
      </c>
      <c r="D170" s="16"/>
      <c r="E170" s="16"/>
      <c r="F170" s="16"/>
    </row>
    <row r="171" spans="1:6">
      <c r="A171" s="16" t="s">
        <v>245</v>
      </c>
      <c r="B171" s="17">
        <v>2.7625000000000001E-8</v>
      </c>
      <c r="C171" s="16" t="s">
        <v>14</v>
      </c>
      <c r="D171" s="16"/>
      <c r="E171" s="16"/>
      <c r="F171" s="16"/>
    </row>
    <row r="172" spans="1:6">
      <c r="A172" s="16" t="s">
        <v>136</v>
      </c>
      <c r="B172" s="17">
        <v>3.5499999999999999E-9</v>
      </c>
      <c r="C172" s="16" t="s">
        <v>14</v>
      </c>
      <c r="D172" s="16"/>
      <c r="E172" s="16"/>
      <c r="F172" s="16"/>
    </row>
    <row r="173" spans="1:6">
      <c r="A173" s="16" t="s">
        <v>155</v>
      </c>
      <c r="B173" s="17">
        <v>1.2500000000000001E-5</v>
      </c>
      <c r="C173" s="16" t="s">
        <v>14</v>
      </c>
      <c r="D173" s="16"/>
      <c r="E173" s="16"/>
      <c r="F173" s="16"/>
    </row>
    <row r="174" spans="1:6">
      <c r="A174" s="16" t="s">
        <v>246</v>
      </c>
      <c r="B174" s="17">
        <v>5.9250000000000001E-9</v>
      </c>
      <c r="C174" s="16" t="s">
        <v>14</v>
      </c>
      <c r="D174" s="16"/>
      <c r="E174" s="16"/>
      <c r="F174" s="16"/>
    </row>
    <row r="175" spans="1:6">
      <c r="A175" s="16" t="s">
        <v>247</v>
      </c>
      <c r="B175" s="17">
        <v>2.3750000000000001E-8</v>
      </c>
      <c r="C175" s="16" t="s">
        <v>14</v>
      </c>
      <c r="D175" s="16"/>
      <c r="E175" s="16"/>
      <c r="F175" s="16"/>
    </row>
    <row r="176" spans="1:6">
      <c r="A176" s="16" t="s">
        <v>139</v>
      </c>
      <c r="B176" s="17">
        <v>2.5000000000000001E-4</v>
      </c>
      <c r="C176" s="16" t="s">
        <v>14</v>
      </c>
      <c r="D176" s="16"/>
      <c r="E176" s="16"/>
      <c r="F176" s="16"/>
    </row>
    <row r="177" spans="1:6">
      <c r="A177" s="16" t="s">
        <v>265</v>
      </c>
      <c r="B177" s="17">
        <v>2.1500000000000002E-6</v>
      </c>
      <c r="C177" s="16" t="s">
        <v>14</v>
      </c>
      <c r="D177" s="16"/>
      <c r="E177" s="16"/>
      <c r="F177" s="16"/>
    </row>
    <row r="178" spans="1:6">
      <c r="A178" s="16" t="s">
        <v>141</v>
      </c>
      <c r="B178" s="17">
        <v>2.5000000000000001E-5</v>
      </c>
      <c r="C178" s="16" t="s">
        <v>14</v>
      </c>
      <c r="D178" s="16"/>
      <c r="E178" s="16"/>
      <c r="F178" s="16"/>
    </row>
    <row r="179" spans="1:6">
      <c r="A179" s="16" t="s">
        <v>248</v>
      </c>
      <c r="B179" s="17">
        <v>1.2500000000000001E-5</v>
      </c>
      <c r="C179" s="16" t="s">
        <v>14</v>
      </c>
      <c r="D179" s="16"/>
      <c r="E179" s="16"/>
      <c r="F179" s="16"/>
    </row>
    <row r="180" spans="1:6">
      <c r="A180" s="16" t="s">
        <v>249</v>
      </c>
      <c r="B180" s="17">
        <v>2.5000000000000001E-5</v>
      </c>
      <c r="C180" s="16" t="s">
        <v>14</v>
      </c>
      <c r="D180" s="16"/>
      <c r="E180" s="16"/>
      <c r="F180" s="16"/>
    </row>
    <row r="181" spans="1:6">
      <c r="A181" s="16" t="s">
        <v>250</v>
      </c>
      <c r="B181" s="17">
        <v>7.9000000000000006E-8</v>
      </c>
      <c r="C181" s="16" t="s">
        <v>14</v>
      </c>
      <c r="D181" s="16"/>
      <c r="E181" s="16"/>
      <c r="F181" s="16"/>
    </row>
    <row r="182" spans="1:6">
      <c r="A182" s="16" t="s">
        <v>275</v>
      </c>
      <c r="B182" s="17">
        <v>1.0624999999999999E-4</v>
      </c>
      <c r="C182" s="16" t="s">
        <v>253</v>
      </c>
      <c r="D182" s="16"/>
      <c r="E182" s="16"/>
      <c r="F182" s="16"/>
    </row>
    <row r="183" spans="1:6">
      <c r="A183" s="16" t="s">
        <v>251</v>
      </c>
      <c r="B183" s="17">
        <v>1.575E-6</v>
      </c>
      <c r="C183" s="16" t="s">
        <v>14</v>
      </c>
      <c r="D183" s="16"/>
      <c r="E183" s="16"/>
      <c r="F183" s="16"/>
    </row>
    <row r="184" spans="1:6">
      <c r="A184" s="16" t="s">
        <v>252</v>
      </c>
      <c r="B184" s="17">
        <v>1.6875E-5</v>
      </c>
      <c r="C184" s="16" t="s">
        <v>253</v>
      </c>
      <c r="D184" s="16"/>
      <c r="E184" s="16"/>
      <c r="F184" s="16"/>
    </row>
    <row r="185" spans="1:6">
      <c r="A185" s="16" t="s">
        <v>143</v>
      </c>
      <c r="B185" s="17">
        <v>1.2500000000000001E-6</v>
      </c>
      <c r="C185" s="16" t="s">
        <v>14</v>
      </c>
      <c r="D185" s="16"/>
      <c r="E185" s="16"/>
      <c r="F185" s="16"/>
    </row>
    <row r="186" spans="1:6">
      <c r="A186" s="16" t="s">
        <v>268</v>
      </c>
      <c r="B186" s="17">
        <v>6.2500000000000005E-7</v>
      </c>
      <c r="C186" s="16" t="s">
        <v>14</v>
      </c>
      <c r="D186" s="16"/>
      <c r="E186" s="16"/>
      <c r="F186" s="16"/>
    </row>
    <row r="187" spans="1:6">
      <c r="A187" s="16" t="s">
        <v>276</v>
      </c>
      <c r="B187" s="17">
        <v>1.5E-5</v>
      </c>
      <c r="C187" s="16" t="s">
        <v>253</v>
      </c>
      <c r="D187" s="16"/>
      <c r="E187" s="16"/>
      <c r="F187" s="16"/>
    </row>
    <row r="188" spans="1:6">
      <c r="A188" s="16" t="s">
        <v>277</v>
      </c>
      <c r="B188" s="17">
        <v>8.1249999999999996E-5</v>
      </c>
      <c r="C188" s="16" t="s">
        <v>253</v>
      </c>
      <c r="D188" s="16"/>
      <c r="E188" s="16"/>
      <c r="F188" s="16"/>
    </row>
    <row r="189" spans="1:6">
      <c r="A189" s="16" t="s">
        <v>278</v>
      </c>
      <c r="B189" s="17">
        <v>1.2500000000000001E-6</v>
      </c>
      <c r="C189" s="16" t="s">
        <v>253</v>
      </c>
      <c r="D189" s="16"/>
      <c r="E189" s="16"/>
      <c r="F189" s="16"/>
    </row>
    <row r="190" spans="1:6">
      <c r="A190" s="16" t="s">
        <v>279</v>
      </c>
      <c r="B190" s="17">
        <v>1.2500000000000001E-6</v>
      </c>
      <c r="C190" s="16" t="s">
        <v>253</v>
      </c>
      <c r="D190" s="16"/>
      <c r="E190" s="16"/>
      <c r="F190" s="16"/>
    </row>
    <row r="191" spans="1:6">
      <c r="A191" s="16" t="s">
        <v>254</v>
      </c>
      <c r="B191" s="17">
        <v>1.575E-9</v>
      </c>
      <c r="C191" s="16" t="s">
        <v>14</v>
      </c>
      <c r="D191" s="16"/>
      <c r="E191" s="16"/>
      <c r="F191" s="16"/>
    </row>
    <row r="192" spans="1:6">
      <c r="A192" s="16" t="s">
        <v>255</v>
      </c>
      <c r="B192" s="17">
        <v>1.185E-8</v>
      </c>
      <c r="C192" s="16" t="s">
        <v>14</v>
      </c>
      <c r="D192" s="16"/>
      <c r="E192" s="16"/>
      <c r="F192" s="16"/>
    </row>
    <row r="193" spans="1:6">
      <c r="A193" s="16" t="s">
        <v>256</v>
      </c>
      <c r="B193" s="17">
        <v>1.9749999999999999E-5</v>
      </c>
      <c r="C193" s="16" t="s">
        <v>14</v>
      </c>
      <c r="D193" s="16"/>
      <c r="E193" s="16"/>
      <c r="F193" s="16"/>
    </row>
    <row r="194" spans="1:6">
      <c r="A194" s="16" t="s">
        <v>257</v>
      </c>
      <c r="B194" s="17">
        <v>7.8999999999999995E-7</v>
      </c>
      <c r="C194" s="16" t="s">
        <v>14</v>
      </c>
      <c r="D194" s="16"/>
      <c r="E194" s="16"/>
      <c r="F194" s="16"/>
    </row>
    <row r="195" spans="1:6">
      <c r="A195" s="16" t="s">
        <v>258</v>
      </c>
      <c r="B195" s="17">
        <v>2.375E-7</v>
      </c>
      <c r="C195" s="16" t="s">
        <v>14</v>
      </c>
      <c r="D195" s="16"/>
      <c r="E195" s="16"/>
      <c r="F195" s="16"/>
    </row>
    <row r="196" spans="1:6">
      <c r="A196" s="16" t="s">
        <v>120</v>
      </c>
      <c r="B196" s="17">
        <v>6.2500000000000001E-4</v>
      </c>
      <c r="C196" s="16" t="s">
        <v>14</v>
      </c>
      <c r="D196" s="16"/>
      <c r="E196" s="16"/>
      <c r="F196" s="16"/>
    </row>
    <row r="197" spans="1:6">
      <c r="A197" s="16" t="s">
        <v>259</v>
      </c>
      <c r="B197" s="17">
        <v>1.9749999999999999E-9</v>
      </c>
      <c r="C197" s="16" t="s">
        <v>14</v>
      </c>
      <c r="D197" s="16"/>
      <c r="E197" s="16"/>
      <c r="F197" s="16"/>
    </row>
    <row r="198" spans="1:6">
      <c r="A198" s="16" t="s">
        <v>280</v>
      </c>
      <c r="B198" s="17">
        <v>2.3750000000000002E-9</v>
      </c>
      <c r="C198" s="16" t="s">
        <v>14</v>
      </c>
      <c r="D198" s="16"/>
      <c r="E198" s="16"/>
      <c r="F198" s="16"/>
    </row>
    <row r="199" spans="1:6">
      <c r="A199" s="16" t="s">
        <v>281</v>
      </c>
      <c r="B199" s="17">
        <v>6.8750000000000002E-6</v>
      </c>
      <c r="C199" s="16" t="s">
        <v>253</v>
      </c>
      <c r="D199" s="16"/>
      <c r="E199" s="16"/>
      <c r="F199" s="16"/>
    </row>
    <row r="200" spans="1:6">
      <c r="A200" s="16" t="s">
        <v>282</v>
      </c>
      <c r="B200" s="17">
        <v>4.3749999999999996E-6</v>
      </c>
      <c r="C200" s="16" t="s">
        <v>253</v>
      </c>
      <c r="D200" s="16"/>
      <c r="E200" s="16"/>
      <c r="F200" s="16"/>
    </row>
    <row r="201" spans="1:6">
      <c r="A201" s="16" t="s">
        <v>260</v>
      </c>
      <c r="B201" s="17">
        <v>7.8999999999999996E-10</v>
      </c>
      <c r="C201" s="16" t="s">
        <v>14</v>
      </c>
      <c r="D201" s="16"/>
      <c r="E201" s="16"/>
      <c r="F201" s="16"/>
    </row>
    <row r="202" spans="1:6">
      <c r="A202" s="16" t="s">
        <v>261</v>
      </c>
      <c r="B202" s="17">
        <v>4.7375000000000002E-7</v>
      </c>
      <c r="C202" s="16" t="s">
        <v>14</v>
      </c>
      <c r="D202" s="16"/>
      <c r="E202" s="16"/>
      <c r="F202" s="16"/>
    </row>
    <row r="203" spans="1:6">
      <c r="A203" s="16" t="s">
        <v>147</v>
      </c>
      <c r="B203" s="17">
        <v>1.2499999999999999E-7</v>
      </c>
      <c r="C203" s="16" t="s">
        <v>14</v>
      </c>
      <c r="D203" s="16"/>
      <c r="E203" s="16"/>
      <c r="F203" s="16"/>
    </row>
    <row r="204" spans="1:6">
      <c r="A204" s="16" t="s">
        <v>283</v>
      </c>
      <c r="B204" s="17">
        <v>3.1625000000000002E-9</v>
      </c>
      <c r="C204" s="16" t="s">
        <v>14</v>
      </c>
      <c r="D204" s="16"/>
      <c r="E204" s="16"/>
      <c r="F204" s="16"/>
    </row>
    <row r="205" spans="1:6">
      <c r="A205" s="16" t="s">
        <v>284</v>
      </c>
      <c r="B205" s="17">
        <v>1.2500000000000001E-5</v>
      </c>
      <c r="C205" s="16" t="s">
        <v>253</v>
      </c>
      <c r="D205" s="16"/>
      <c r="E205" s="16"/>
      <c r="F205" s="16"/>
    </row>
    <row r="206" spans="1:6">
      <c r="A206" s="16" t="s">
        <v>262</v>
      </c>
      <c r="B206" s="17">
        <v>4.7374999999999999E-8</v>
      </c>
      <c r="C206" s="16" t="s">
        <v>14</v>
      </c>
      <c r="D206" s="16"/>
      <c r="E206" s="16"/>
      <c r="F206" s="16"/>
    </row>
    <row r="207" spans="1:6">
      <c r="A207" s="16" t="s">
        <v>263</v>
      </c>
      <c r="B207" s="17">
        <v>1.125E-6</v>
      </c>
      <c r="C207" s="16" t="s">
        <v>23</v>
      </c>
      <c r="D207" s="16"/>
      <c r="E207" s="16"/>
      <c r="F207" s="16"/>
    </row>
    <row r="208" spans="1:6">
      <c r="A208" s="16" t="s">
        <v>263</v>
      </c>
      <c r="B208" s="17">
        <v>6.3749999999999999E-6</v>
      </c>
      <c r="C208" s="16" t="s">
        <v>23</v>
      </c>
      <c r="D208" s="16"/>
      <c r="E208" s="16"/>
      <c r="F208" s="16"/>
    </row>
    <row r="209" spans="1:6">
      <c r="A209" s="16" t="s">
        <v>285</v>
      </c>
      <c r="B209" s="17">
        <v>1.2499999999999999E-7</v>
      </c>
      <c r="C209" s="16" t="s">
        <v>14</v>
      </c>
      <c r="D209" s="16"/>
      <c r="E209" s="16"/>
      <c r="F209" s="16"/>
    </row>
    <row r="210" spans="1:6">
      <c r="A210" s="16" t="s">
        <v>264</v>
      </c>
      <c r="B210" s="17">
        <v>3.9499999999999998E-9</v>
      </c>
      <c r="C210" s="16" t="s">
        <v>14</v>
      </c>
      <c r="D210" s="16"/>
      <c r="E210" s="16"/>
      <c r="F210" s="16"/>
    </row>
    <row r="212" spans="1:6" ht="15">
      <c r="A212" s="27" t="s">
        <v>184</v>
      </c>
      <c r="B212" s="39" t="s">
        <v>80</v>
      </c>
      <c r="C212" s="29">
        <v>1</v>
      </c>
      <c r="D212" s="28"/>
      <c r="E212" s="28" t="s">
        <v>286</v>
      </c>
      <c r="F212" s="28"/>
    </row>
    <row r="213" spans="1:6" ht="15">
      <c r="A213" s="27" t="s">
        <v>44</v>
      </c>
      <c r="B213" s="28"/>
      <c r="C213" s="28"/>
      <c r="D213" s="28"/>
      <c r="E213" s="28"/>
      <c r="F213" s="28"/>
    </row>
    <row r="214" spans="1:6">
      <c r="A214" s="28" t="s">
        <v>287</v>
      </c>
      <c r="B214" s="28">
        <v>0</v>
      </c>
      <c r="C214" s="28" t="s">
        <v>73</v>
      </c>
      <c r="D214" s="28"/>
      <c r="E214" s="28"/>
      <c r="F214" s="28" t="s">
        <v>84</v>
      </c>
    </row>
    <row r="215" spans="1:6">
      <c r="A215" s="28" t="s">
        <v>85</v>
      </c>
      <c r="B215" s="28">
        <v>0</v>
      </c>
      <c r="C215" s="28" t="s">
        <v>65</v>
      </c>
      <c r="D215" s="28"/>
      <c r="E215" s="28"/>
      <c r="F215" s="28" t="s">
        <v>68</v>
      </c>
    </row>
    <row r="216" spans="1:6">
      <c r="A216" s="28" t="s">
        <v>288</v>
      </c>
      <c r="B216" s="28">
        <v>0</v>
      </c>
      <c r="C216" s="28" t="s">
        <v>50</v>
      </c>
      <c r="D216" s="28"/>
      <c r="E216" s="28"/>
      <c r="F216" s="28" t="s">
        <v>88</v>
      </c>
    </row>
    <row r="217" spans="1:6">
      <c r="A217" s="28"/>
      <c r="B217" s="28"/>
      <c r="C217" s="28"/>
      <c r="D217" s="28"/>
      <c r="E217" s="28"/>
      <c r="F217" s="28"/>
    </row>
    <row r="218" spans="1:6" ht="15">
      <c r="A218" s="27" t="s">
        <v>76</v>
      </c>
      <c r="B218" s="28"/>
      <c r="C218" s="28"/>
      <c r="D218" s="28"/>
      <c r="E218" s="28"/>
      <c r="F218" s="28"/>
    </row>
    <row r="219" spans="1:6">
      <c r="A219" s="28" t="s">
        <v>45</v>
      </c>
      <c r="B219" s="28">
        <v>1</v>
      </c>
      <c r="C219" s="28" t="s">
        <v>73</v>
      </c>
      <c r="D219" s="28"/>
      <c r="E219" s="28"/>
      <c r="F219" s="28"/>
    </row>
    <row r="220" spans="1:6">
      <c r="A220" s="28" t="s">
        <v>289</v>
      </c>
      <c r="B220" s="29">
        <f>B12*B11*B50/0.6</f>
        <v>14.951678686880001</v>
      </c>
      <c r="C220" s="28" t="s">
        <v>290</v>
      </c>
      <c r="D220" s="28"/>
      <c r="E220" s="28"/>
      <c r="F220" s="28"/>
    </row>
    <row r="221" spans="1:6">
      <c r="A221" s="28" t="s">
        <v>291</v>
      </c>
      <c r="B221" s="37">
        <f>B50-B234</f>
        <v>0.29675286366250686</v>
      </c>
      <c r="C221" s="28" t="s">
        <v>14</v>
      </c>
      <c r="D221" s="28"/>
      <c r="E221" s="28"/>
      <c r="F221" s="28" t="s">
        <v>104</v>
      </c>
    </row>
    <row r="222" spans="1:6">
      <c r="A222" s="28" t="s">
        <v>91</v>
      </c>
      <c r="B222" s="28">
        <v>0</v>
      </c>
      <c r="C222" s="29" t="s">
        <v>14</v>
      </c>
      <c r="D222" s="28"/>
      <c r="E222" s="28"/>
      <c r="F222" s="28"/>
    </row>
    <row r="223" spans="1:6">
      <c r="A223" s="28" t="s">
        <v>92</v>
      </c>
      <c r="B223" s="28">
        <v>0</v>
      </c>
      <c r="C223" s="29" t="s">
        <v>14</v>
      </c>
      <c r="D223" s="28"/>
      <c r="E223" s="28"/>
      <c r="F223" s="28"/>
    </row>
    <row r="224" spans="1:6">
      <c r="A224" s="28" t="s">
        <v>93</v>
      </c>
      <c r="B224" s="28">
        <v>0</v>
      </c>
      <c r="C224" s="29" t="s">
        <v>14</v>
      </c>
      <c r="D224" s="28"/>
      <c r="E224" s="28"/>
      <c r="F224" s="28"/>
    </row>
    <row r="225" spans="1:6">
      <c r="A225" s="28" t="s">
        <v>94</v>
      </c>
      <c r="B225" s="28">
        <v>0</v>
      </c>
      <c r="C225" s="29" t="s">
        <v>14</v>
      </c>
      <c r="D225" s="28"/>
      <c r="E225" s="28"/>
      <c r="F225" s="28"/>
    </row>
    <row r="226" spans="1:6">
      <c r="A226" s="28" t="s">
        <v>95</v>
      </c>
      <c r="B226" s="28">
        <v>0</v>
      </c>
      <c r="C226" s="29" t="s">
        <v>14</v>
      </c>
      <c r="D226" s="28"/>
      <c r="E226" s="28"/>
      <c r="F226" s="28"/>
    </row>
    <row r="228" spans="1:6" ht="15">
      <c r="A228" s="4" t="s">
        <v>293</v>
      </c>
      <c r="B228" s="2"/>
      <c r="C228" s="2"/>
      <c r="D228" s="2"/>
      <c r="E228" s="2"/>
      <c r="F228" s="2"/>
    </row>
    <row r="229" spans="1:6">
      <c r="A229" s="5" t="s">
        <v>323</v>
      </c>
      <c r="B229" s="5">
        <f>B12*B11*B50/0.6</f>
        <v>14.951678686880001</v>
      </c>
      <c r="C229" s="5" t="s">
        <v>295</v>
      </c>
      <c r="D229" s="2"/>
      <c r="E229" s="2"/>
      <c r="F229" s="2"/>
    </row>
    <row r="230" spans="1:6">
      <c r="A230" s="2" t="s">
        <v>296</v>
      </c>
      <c r="B230" s="2"/>
      <c r="C230" s="2"/>
      <c r="D230" s="2"/>
      <c r="E230" s="5"/>
      <c r="F230" s="2"/>
    </row>
    <row r="231" spans="1:6">
      <c r="A231" s="2" t="s">
        <v>297</v>
      </c>
      <c r="B231" s="5">
        <f>B50</f>
        <v>0.31489770000000006</v>
      </c>
      <c r="C231" s="5" t="s">
        <v>14</v>
      </c>
      <c r="D231" s="5"/>
      <c r="E231" s="5"/>
      <c r="F231" s="2"/>
    </row>
    <row r="232" spans="1:6">
      <c r="A232" s="2" t="s">
        <v>298</v>
      </c>
      <c r="B232" s="5">
        <f>(1*B220)/(0.0821*273)</f>
        <v>0.66708957123136703</v>
      </c>
      <c r="C232" s="2"/>
      <c r="D232" s="5"/>
      <c r="E232" s="5"/>
      <c r="F232" s="2"/>
    </row>
    <row r="233" spans="1:6">
      <c r="A233" s="2" t="s">
        <v>299</v>
      </c>
      <c r="B233" s="2">
        <f>16*0.6+44*0.4</f>
        <v>27.200000000000003</v>
      </c>
      <c r="C233" s="2" t="s">
        <v>40</v>
      </c>
      <c r="D233" s="2"/>
      <c r="E233" s="2"/>
      <c r="F233" s="2"/>
    </row>
    <row r="234" spans="1:6">
      <c r="A234" s="2" t="s">
        <v>300</v>
      </c>
      <c r="B234" s="5">
        <f>B233*B232/1000</f>
        <v>1.8144836337493184E-2</v>
      </c>
      <c r="C234" s="2" t="s">
        <v>14</v>
      </c>
      <c r="D234" s="2"/>
      <c r="E234" s="2"/>
      <c r="F234" s="2"/>
    </row>
    <row r="235" spans="1:6" ht="20.25">
      <c r="A235" s="2" t="s">
        <v>301</v>
      </c>
      <c r="B235" s="5">
        <f>B231-B234</f>
        <v>0.29675286366250686</v>
      </c>
      <c r="C235" s="2" t="s">
        <v>14</v>
      </c>
      <c r="D235" s="2"/>
      <c r="E235" s="40"/>
      <c r="F235" s="2"/>
    </row>
    <row r="236" spans="1:6">
      <c r="A236" s="2" t="s">
        <v>302</v>
      </c>
      <c r="B236" s="5">
        <f>(B50)/(B234/B4)</f>
        <v>21.190055647154967</v>
      </c>
      <c r="C236" s="2" t="s">
        <v>14</v>
      </c>
      <c r="D236" s="2"/>
      <c r="E236" s="2"/>
      <c r="F236" s="2"/>
    </row>
    <row r="238" spans="1:6" ht="15">
      <c r="A238" s="33" t="s">
        <v>303</v>
      </c>
      <c r="B238" s="24"/>
      <c r="C238" s="25"/>
      <c r="D238" s="24" t="s">
        <v>108</v>
      </c>
      <c r="E238" s="25"/>
      <c r="F238" s="25"/>
    </row>
    <row r="239" spans="1:6" ht="15">
      <c r="A239" s="24" t="s">
        <v>44</v>
      </c>
      <c r="B239" s="25"/>
      <c r="C239" s="25"/>
      <c r="D239" s="25"/>
      <c r="E239" s="25"/>
      <c r="F239" s="25"/>
    </row>
    <row r="240" spans="1:6">
      <c r="A240" s="25" t="s">
        <v>109</v>
      </c>
      <c r="B240" s="26">
        <v>2.0799999999999999E-4</v>
      </c>
      <c r="C240" s="25" t="s">
        <v>14</v>
      </c>
      <c r="D240" s="25"/>
      <c r="E240" s="25"/>
      <c r="F240" s="25" t="s">
        <v>110</v>
      </c>
    </row>
    <row r="241" spans="1:6">
      <c r="A241" s="25" t="s">
        <v>111</v>
      </c>
      <c r="B241" s="26">
        <v>5.4000000000000001E-11</v>
      </c>
      <c r="C241" s="25" t="s">
        <v>46</v>
      </c>
      <c r="D241" s="25"/>
      <c r="E241" s="25"/>
      <c r="F241" s="25" t="s">
        <v>112</v>
      </c>
    </row>
    <row r="242" spans="1:6">
      <c r="A242" s="25" t="s">
        <v>85</v>
      </c>
      <c r="B242" s="25">
        <v>0.18562874251497</v>
      </c>
      <c r="C242" s="25" t="s">
        <v>86</v>
      </c>
      <c r="D242" s="25"/>
      <c r="E242" s="25"/>
      <c r="F242" s="25" t="s">
        <v>68</v>
      </c>
    </row>
    <row r="243" spans="1:6">
      <c r="A243" s="25" t="s">
        <v>113</v>
      </c>
      <c r="B243" s="26">
        <v>1.4999999999999999E-4</v>
      </c>
      <c r="C243" s="25" t="s">
        <v>14</v>
      </c>
      <c r="D243" s="25"/>
      <c r="E243" s="25"/>
      <c r="F243" s="25" t="s">
        <v>114</v>
      </c>
    </row>
    <row r="244" spans="1:6">
      <c r="A244" s="25" t="s">
        <v>115</v>
      </c>
      <c r="B244" s="26">
        <v>3.98E-6</v>
      </c>
      <c r="C244" s="25" t="s">
        <v>14</v>
      </c>
      <c r="D244" s="25"/>
      <c r="E244" s="25"/>
      <c r="F244" s="25" t="s">
        <v>116</v>
      </c>
    </row>
    <row r="245" spans="1:6">
      <c r="A245" s="25"/>
      <c r="B245" s="25"/>
      <c r="C245" s="25"/>
      <c r="D245" s="25"/>
      <c r="E245" s="25"/>
      <c r="F245" s="25"/>
    </row>
    <row r="246" spans="1:6" ht="15">
      <c r="A246" s="24" t="s">
        <v>61</v>
      </c>
      <c r="B246" s="25"/>
      <c r="C246" s="25"/>
      <c r="D246" s="25"/>
      <c r="E246" s="25"/>
      <c r="F246" s="25"/>
    </row>
    <row r="247" spans="1:6">
      <c r="A247" s="25" t="s">
        <v>47</v>
      </c>
      <c r="B247" s="25">
        <v>1</v>
      </c>
      <c r="C247" s="25" t="s">
        <v>46</v>
      </c>
      <c r="D247" s="25"/>
      <c r="E247" s="25"/>
      <c r="F247" s="25"/>
    </row>
    <row r="248" spans="1:6">
      <c r="A248" s="25" t="s">
        <v>117</v>
      </c>
      <c r="B248" s="25">
        <v>1</v>
      </c>
      <c r="C248" s="25" t="s">
        <v>23</v>
      </c>
      <c r="D248" s="25"/>
      <c r="E248" s="25"/>
      <c r="F248" s="25"/>
    </row>
    <row r="249" spans="1:6">
      <c r="A249" s="25" t="s">
        <v>92</v>
      </c>
      <c r="B249" s="26">
        <v>0.97457000000000005</v>
      </c>
      <c r="C249" s="25" t="s">
        <v>14</v>
      </c>
      <c r="D249" s="25"/>
      <c r="E249" s="25"/>
      <c r="F249" s="25"/>
    </row>
    <row r="250" spans="1:6">
      <c r="A250" s="25" t="s">
        <v>118</v>
      </c>
      <c r="B250" s="26">
        <v>1.28</v>
      </c>
      <c r="C250" s="25" t="s">
        <v>50</v>
      </c>
      <c r="D250" s="25"/>
      <c r="E250" s="25"/>
      <c r="F250" s="25"/>
    </row>
    <row r="251" spans="1:6">
      <c r="A251" s="25" t="s">
        <v>94</v>
      </c>
      <c r="B251" s="26">
        <v>6.7000000000000002E-6</v>
      </c>
      <c r="C251" s="25" t="s">
        <v>14</v>
      </c>
      <c r="D251" s="25"/>
      <c r="E251" s="25"/>
      <c r="F251" s="25"/>
    </row>
    <row r="252" spans="1:6">
      <c r="A252" s="25" t="s">
        <v>95</v>
      </c>
      <c r="B252" s="25">
        <v>8.6E-3</v>
      </c>
      <c r="C252" s="25" t="s">
        <v>14</v>
      </c>
      <c r="D252" s="25"/>
      <c r="E252" s="25"/>
      <c r="F252" s="25"/>
    </row>
    <row r="253" spans="1:6">
      <c r="A253" s="25" t="s">
        <v>119</v>
      </c>
      <c r="B253" s="25">
        <v>4.8779999999999997E-2</v>
      </c>
      <c r="C253" s="25" t="s">
        <v>14</v>
      </c>
      <c r="D253" s="25"/>
      <c r="E253" s="25"/>
      <c r="F253" s="25"/>
    </row>
    <row r="254" spans="1:6">
      <c r="A254" s="25" t="s">
        <v>120</v>
      </c>
      <c r="B254" s="26">
        <v>6.5989999999999998E-6</v>
      </c>
      <c r="C254" s="25" t="s">
        <v>14</v>
      </c>
      <c r="D254" s="25"/>
      <c r="E254" s="25"/>
      <c r="F254" s="25"/>
    </row>
    <row r="256" spans="1:6" ht="15">
      <c r="A256" s="34" t="s">
        <v>186</v>
      </c>
      <c r="B256" s="28"/>
      <c r="C256" s="28"/>
      <c r="D256" s="27" t="s">
        <v>121</v>
      </c>
      <c r="E256" s="28"/>
      <c r="F256" s="28"/>
    </row>
    <row r="257" spans="1:6" ht="15">
      <c r="A257" s="27" t="s">
        <v>44</v>
      </c>
      <c r="B257" s="28"/>
      <c r="C257" s="28"/>
      <c r="D257" s="28"/>
      <c r="E257" s="28"/>
      <c r="F257" s="28"/>
    </row>
    <row r="258" spans="1:6">
      <c r="A258" s="28" t="s">
        <v>85</v>
      </c>
      <c r="B258" s="28">
        <v>2.7244000000000001E-3</v>
      </c>
      <c r="C258" s="28" t="s">
        <v>86</v>
      </c>
      <c r="D258" s="28"/>
      <c r="E258" s="28"/>
      <c r="F258" s="28" t="s">
        <v>68</v>
      </c>
    </row>
    <row r="259" spans="1:6">
      <c r="A259" s="28" t="s">
        <v>122</v>
      </c>
      <c r="B259" s="29">
        <v>6.4679999999999999E-7</v>
      </c>
      <c r="C259" s="28" t="s">
        <v>46</v>
      </c>
      <c r="D259" s="28"/>
      <c r="E259" s="28"/>
      <c r="F259" s="28" t="s">
        <v>123</v>
      </c>
    </row>
    <row r="260" spans="1:6">
      <c r="A260" s="28"/>
      <c r="B260" s="28"/>
      <c r="C260" s="28"/>
      <c r="D260" s="28"/>
      <c r="E260" s="28"/>
      <c r="F260" s="28"/>
    </row>
    <row r="261" spans="1:6" ht="15">
      <c r="A261" s="27" t="s">
        <v>61</v>
      </c>
      <c r="B261" s="28"/>
      <c r="C261" s="28"/>
      <c r="D261" s="28"/>
      <c r="E261" s="28"/>
      <c r="F261" s="28"/>
    </row>
    <row r="262" spans="1:6">
      <c r="A262" s="28" t="s">
        <v>124</v>
      </c>
      <c r="B262" s="28">
        <v>1</v>
      </c>
      <c r="C262" s="28" t="s">
        <v>46</v>
      </c>
      <c r="D262" s="28"/>
      <c r="E262" s="28"/>
      <c r="F262" s="28"/>
    </row>
    <row r="263" spans="1:6">
      <c r="A263" s="28" t="s">
        <v>125</v>
      </c>
      <c r="B263" s="28">
        <v>0</v>
      </c>
      <c r="C263" s="28" t="s">
        <v>50</v>
      </c>
      <c r="D263" s="28"/>
      <c r="E263" s="28" t="s">
        <v>126</v>
      </c>
      <c r="F263" s="28"/>
    </row>
    <row r="264" spans="1:6">
      <c r="A264" s="28" t="s">
        <v>128</v>
      </c>
      <c r="B264" s="29">
        <v>9.7999999999999992E-10</v>
      </c>
      <c r="C264" s="28" t="s">
        <v>14</v>
      </c>
      <c r="D264" s="28"/>
      <c r="E264" s="28"/>
      <c r="F264" s="28"/>
    </row>
    <row r="265" spans="1:6">
      <c r="A265" s="28" t="s">
        <v>129</v>
      </c>
      <c r="B265" s="29">
        <v>1.4700000000000001E-7</v>
      </c>
      <c r="C265" s="28" t="s">
        <v>14</v>
      </c>
      <c r="D265" s="28"/>
      <c r="E265" s="28"/>
      <c r="F265" s="28"/>
    </row>
    <row r="266" spans="1:6">
      <c r="A266" s="28" t="s">
        <v>130</v>
      </c>
      <c r="B266" s="29">
        <v>3.9200000000000002E-7</v>
      </c>
      <c r="C266" s="28" t="s">
        <v>14</v>
      </c>
      <c r="D266" s="28"/>
      <c r="E266" s="28"/>
      <c r="F266" s="28"/>
    </row>
    <row r="267" spans="1:6">
      <c r="A267" s="28" t="s">
        <v>131</v>
      </c>
      <c r="B267" s="29">
        <v>9.7999999999999994E-12</v>
      </c>
      <c r="C267" s="28" t="s">
        <v>14</v>
      </c>
      <c r="D267" s="28"/>
      <c r="E267" s="28"/>
      <c r="F267" s="28"/>
    </row>
    <row r="268" spans="1:6">
      <c r="A268" s="28" t="s">
        <v>132</v>
      </c>
      <c r="B268" s="29">
        <v>6.8599999999999998E-7</v>
      </c>
      <c r="C268" s="28" t="s">
        <v>14</v>
      </c>
      <c r="D268" s="28"/>
      <c r="E268" s="28"/>
      <c r="F268" s="28"/>
    </row>
    <row r="269" spans="1:6">
      <c r="A269" s="28" t="s">
        <v>92</v>
      </c>
      <c r="B269" s="28">
        <v>5.4879999999999998E-2</v>
      </c>
      <c r="C269" s="28" t="s">
        <v>14</v>
      </c>
      <c r="D269" s="28"/>
      <c r="E269" s="28"/>
      <c r="F269" s="28"/>
    </row>
    <row r="270" spans="1:6">
      <c r="A270" s="28" t="s">
        <v>133</v>
      </c>
      <c r="B270" s="29">
        <v>5.7819999999999999E-6</v>
      </c>
      <c r="C270" s="28" t="s">
        <v>14</v>
      </c>
      <c r="D270" s="28"/>
      <c r="E270" s="28"/>
      <c r="F270" s="28"/>
    </row>
    <row r="271" spans="1:6">
      <c r="A271" s="28" t="s">
        <v>93</v>
      </c>
      <c r="B271" s="29">
        <v>4.8999999999999997E-7</v>
      </c>
      <c r="C271" s="28" t="s">
        <v>14</v>
      </c>
      <c r="D271" s="28"/>
      <c r="E271" s="28"/>
      <c r="F271" s="28"/>
    </row>
    <row r="272" spans="1:6">
      <c r="A272" s="28" t="s">
        <v>134</v>
      </c>
      <c r="B272" s="29">
        <v>2.9400000000000001E-17</v>
      </c>
      <c r="C272" s="28" t="s">
        <v>14</v>
      </c>
      <c r="D272" s="28"/>
      <c r="E272" s="28"/>
      <c r="F272" s="28"/>
    </row>
    <row r="273" spans="1:6">
      <c r="A273" s="28" t="s">
        <v>135</v>
      </c>
      <c r="B273" s="29">
        <v>9.8000000000000004E-8</v>
      </c>
      <c r="C273" s="28" t="s">
        <v>14</v>
      </c>
      <c r="D273" s="28"/>
      <c r="E273" s="28"/>
      <c r="F273" s="28"/>
    </row>
    <row r="274" spans="1:6">
      <c r="A274" s="28" t="s">
        <v>136</v>
      </c>
      <c r="B274" s="29">
        <v>2.9400000000000003E-11</v>
      </c>
      <c r="C274" s="28" t="s">
        <v>14</v>
      </c>
      <c r="D274" s="28"/>
      <c r="E274" s="28"/>
      <c r="F274" s="28"/>
    </row>
    <row r="275" spans="1:6">
      <c r="A275" s="28" t="s">
        <v>95</v>
      </c>
      <c r="B275" s="29">
        <v>1.9599999999999999E-6</v>
      </c>
      <c r="C275" s="28" t="s">
        <v>14</v>
      </c>
      <c r="D275" s="28"/>
      <c r="E275" s="28"/>
      <c r="F275" s="28"/>
    </row>
    <row r="276" spans="1:6">
      <c r="A276" s="28" t="s">
        <v>137</v>
      </c>
      <c r="B276" s="29">
        <v>1.2739999999999999E-7</v>
      </c>
      <c r="C276" s="28" t="s">
        <v>14</v>
      </c>
      <c r="D276" s="28"/>
      <c r="E276" s="28"/>
      <c r="F276" s="28"/>
    </row>
    <row r="277" spans="1:6">
      <c r="A277" s="28" t="s">
        <v>138</v>
      </c>
      <c r="B277" s="29">
        <v>2.9400000000000002E-9</v>
      </c>
      <c r="C277" s="28" t="s">
        <v>14</v>
      </c>
      <c r="D277" s="28"/>
      <c r="E277" s="28"/>
      <c r="F277" s="28"/>
    </row>
    <row r="278" spans="1:6">
      <c r="A278" s="28" t="s">
        <v>139</v>
      </c>
      <c r="B278" s="29">
        <v>9.7019999999999996E-6</v>
      </c>
      <c r="C278" s="28" t="s">
        <v>14</v>
      </c>
      <c r="D278" s="28"/>
      <c r="E278" s="28"/>
      <c r="F278" s="28"/>
    </row>
    <row r="279" spans="1:6">
      <c r="A279" s="28" t="s">
        <v>140</v>
      </c>
      <c r="B279" s="29">
        <v>9.8000000000000001E-9</v>
      </c>
      <c r="C279" s="28" t="s">
        <v>14</v>
      </c>
      <c r="D279" s="28"/>
      <c r="E279" s="28"/>
      <c r="F279" s="28"/>
    </row>
    <row r="280" spans="1:6">
      <c r="A280" s="28" t="s">
        <v>141</v>
      </c>
      <c r="B280" s="29">
        <v>9.8000000000000004E-8</v>
      </c>
      <c r="C280" s="28" t="s">
        <v>14</v>
      </c>
      <c r="D280" s="28"/>
      <c r="E280" s="28"/>
      <c r="F280" s="28"/>
    </row>
    <row r="281" spans="1:6">
      <c r="A281" s="28" t="s">
        <v>142</v>
      </c>
      <c r="B281" s="29">
        <v>1.176E-6</v>
      </c>
      <c r="C281" s="28" t="s">
        <v>14</v>
      </c>
      <c r="D281" s="28"/>
      <c r="E281" s="28"/>
      <c r="F281" s="28"/>
    </row>
    <row r="282" spans="1:6">
      <c r="A282" s="28" t="s">
        <v>143</v>
      </c>
      <c r="B282" s="29">
        <v>1.9600000000000001E-7</v>
      </c>
      <c r="C282" s="28" t="s">
        <v>14</v>
      </c>
      <c r="D282" s="28"/>
      <c r="E282" s="28"/>
      <c r="F282" s="28"/>
    </row>
    <row r="283" spans="1:6">
      <c r="A283" s="28" t="s">
        <v>144</v>
      </c>
      <c r="B283" s="29">
        <v>1.96E-8</v>
      </c>
      <c r="C283" s="28" t="s">
        <v>14</v>
      </c>
      <c r="D283" s="28"/>
      <c r="E283" s="28"/>
      <c r="F283" s="28"/>
    </row>
    <row r="284" spans="1:6">
      <c r="A284" s="28" t="s">
        <v>145</v>
      </c>
      <c r="B284" s="29">
        <v>4.9000000000000002E-8</v>
      </c>
      <c r="C284" s="28" t="s">
        <v>14</v>
      </c>
      <c r="D284" s="28"/>
      <c r="E284" s="28"/>
      <c r="F284" s="28"/>
    </row>
    <row r="285" spans="1:6">
      <c r="A285" s="28" t="s">
        <v>146</v>
      </c>
      <c r="B285" s="29">
        <v>4.9000000000000002E-8</v>
      </c>
      <c r="C285" s="28" t="s">
        <v>14</v>
      </c>
      <c r="D285" s="28"/>
      <c r="E285" s="28"/>
      <c r="F285" s="28"/>
    </row>
    <row r="286" spans="1:6">
      <c r="A286" s="28" t="s">
        <v>120</v>
      </c>
      <c r="B286" s="29">
        <v>4.8999999999999997E-7</v>
      </c>
      <c r="C286" s="28" t="s">
        <v>14</v>
      </c>
      <c r="D286" s="28"/>
      <c r="E286" s="28"/>
      <c r="F286" s="28"/>
    </row>
    <row r="287" spans="1:6">
      <c r="A287" s="28" t="s">
        <v>147</v>
      </c>
      <c r="B287" s="29">
        <v>1.9600000000000001E-7</v>
      </c>
      <c r="C287" s="28" t="s">
        <v>14</v>
      </c>
      <c r="D287" s="28"/>
      <c r="E287" s="28"/>
      <c r="F287" s="28"/>
    </row>
    <row r="289" spans="1:6" ht="15">
      <c r="A289" s="30" t="s">
        <v>304</v>
      </c>
      <c r="B289" s="16"/>
      <c r="C289" s="16"/>
      <c r="D289" s="16"/>
      <c r="E289" s="16"/>
      <c r="F289" s="16"/>
    </row>
    <row r="290" spans="1:6" ht="15">
      <c r="A290" s="15" t="s">
        <v>44</v>
      </c>
      <c r="B290" s="16"/>
      <c r="C290" s="16"/>
      <c r="D290" s="16"/>
      <c r="E290" s="16"/>
      <c r="F290" s="16"/>
    </row>
    <row r="291" spans="1:6">
      <c r="A291" s="16" t="s">
        <v>85</v>
      </c>
      <c r="B291" s="16">
        <v>4.6333333333333296E-3</v>
      </c>
      <c r="C291" s="16" t="s">
        <v>86</v>
      </c>
      <c r="D291" s="16"/>
      <c r="E291" s="16"/>
      <c r="F291" s="16" t="s">
        <v>68</v>
      </c>
    </row>
    <row r="292" spans="1:6">
      <c r="A292" s="16" t="s">
        <v>149</v>
      </c>
      <c r="B292" s="17">
        <v>3.1111111111111102E-9</v>
      </c>
      <c r="C292" s="16" t="s">
        <v>46</v>
      </c>
      <c r="D292" s="16"/>
      <c r="E292" s="16"/>
      <c r="F292" s="16" t="s">
        <v>150</v>
      </c>
    </row>
    <row r="293" spans="1:6">
      <c r="A293" s="16" t="s">
        <v>151</v>
      </c>
      <c r="B293" s="16">
        <v>3.0864197530864199E-2</v>
      </c>
      <c r="C293" s="16" t="s">
        <v>23</v>
      </c>
      <c r="D293" s="16"/>
      <c r="E293" s="16"/>
      <c r="F293" s="16" t="s">
        <v>152</v>
      </c>
    </row>
    <row r="294" spans="1:6">
      <c r="A294" s="16"/>
      <c r="B294" s="16"/>
      <c r="C294" s="16"/>
      <c r="D294" s="16"/>
      <c r="E294" s="16"/>
      <c r="F294" s="16"/>
    </row>
    <row r="295" spans="1:6" ht="15">
      <c r="A295" s="15" t="s">
        <v>76</v>
      </c>
      <c r="B295" s="16"/>
      <c r="C295" s="16"/>
      <c r="D295" s="16"/>
      <c r="E295" s="16"/>
      <c r="F295" s="16"/>
    </row>
    <row r="296" spans="1:6">
      <c r="A296" s="16" t="s">
        <v>87</v>
      </c>
      <c r="B296" s="16">
        <v>1</v>
      </c>
      <c r="C296" s="16" t="s">
        <v>50</v>
      </c>
      <c r="D296" s="16"/>
      <c r="E296" s="16"/>
      <c r="F296" s="16"/>
    </row>
    <row r="297" spans="1:6">
      <c r="A297" s="16" t="s">
        <v>128</v>
      </c>
      <c r="B297" s="17">
        <v>1.11111111111111E-9</v>
      </c>
      <c r="C297" s="16" t="s">
        <v>14</v>
      </c>
      <c r="D297" s="16"/>
      <c r="E297" s="16"/>
      <c r="F297" s="16"/>
    </row>
    <row r="298" spans="1:6">
      <c r="A298" s="16" t="s">
        <v>129</v>
      </c>
      <c r="B298" s="17">
        <v>1.6666666666666699E-7</v>
      </c>
      <c r="C298" s="16" t="s">
        <v>14</v>
      </c>
      <c r="D298" s="16"/>
      <c r="E298" s="16"/>
      <c r="F298" s="16"/>
    </row>
    <row r="299" spans="1:6">
      <c r="A299" s="16" t="s">
        <v>130</v>
      </c>
      <c r="B299" s="17">
        <v>4.4444444444444401E-7</v>
      </c>
      <c r="C299" s="16" t="s">
        <v>14</v>
      </c>
      <c r="D299" s="16"/>
      <c r="E299" s="16"/>
      <c r="F299" s="16"/>
    </row>
    <row r="300" spans="1:6">
      <c r="A300" s="17" t="s">
        <v>131</v>
      </c>
      <c r="B300" s="17">
        <v>1.11111111111111E-11</v>
      </c>
      <c r="C300" s="16" t="s">
        <v>14</v>
      </c>
      <c r="D300" s="16"/>
      <c r="E300" s="16"/>
      <c r="F300" s="16"/>
    </row>
    <row r="301" spans="1:6">
      <c r="A301" s="17" t="s">
        <v>132</v>
      </c>
      <c r="B301" s="17">
        <v>7.77777777777778E-7</v>
      </c>
      <c r="C301" s="16" t="s">
        <v>14</v>
      </c>
      <c r="D301" s="16"/>
      <c r="E301" s="16"/>
      <c r="F301" s="16"/>
    </row>
    <row r="302" spans="1:6">
      <c r="A302" s="17" t="s">
        <v>153</v>
      </c>
      <c r="B302" s="16">
        <v>6.22222222222222E-2</v>
      </c>
      <c r="C302" s="16" t="s">
        <v>14</v>
      </c>
      <c r="D302" s="16"/>
      <c r="E302" s="16"/>
      <c r="F302" s="16"/>
    </row>
    <row r="303" spans="1:6">
      <c r="A303" s="17" t="s">
        <v>154</v>
      </c>
      <c r="B303" s="17">
        <v>1.5555555555555599E-5</v>
      </c>
      <c r="C303" s="16" t="s">
        <v>14</v>
      </c>
      <c r="D303" s="16"/>
      <c r="E303" s="16"/>
      <c r="F303" s="16"/>
    </row>
    <row r="304" spans="1:6">
      <c r="A304" s="17" t="s">
        <v>93</v>
      </c>
      <c r="B304" s="17">
        <v>1.11111111111111E-7</v>
      </c>
      <c r="C304" s="16" t="s">
        <v>14</v>
      </c>
      <c r="D304" s="16"/>
      <c r="E304" s="16"/>
      <c r="F304" s="16"/>
    </row>
    <row r="305" spans="1:6">
      <c r="A305" s="16" t="s">
        <v>134</v>
      </c>
      <c r="B305" s="17">
        <v>3.3333333333333298E-17</v>
      </c>
      <c r="C305" s="16" t="s">
        <v>14</v>
      </c>
      <c r="D305" s="16"/>
      <c r="E305" s="16"/>
      <c r="F305" s="17"/>
    </row>
    <row r="306" spans="1:6">
      <c r="A306" s="16" t="s">
        <v>135</v>
      </c>
      <c r="B306" s="17">
        <v>1.11111111111111E-7</v>
      </c>
      <c r="C306" s="16" t="s">
        <v>14</v>
      </c>
      <c r="D306" s="16"/>
      <c r="E306" s="17"/>
      <c r="F306" s="16"/>
    </row>
    <row r="307" spans="1:6">
      <c r="A307" s="17" t="s">
        <v>136</v>
      </c>
      <c r="B307" s="17">
        <v>3.3333333333333302E-11</v>
      </c>
      <c r="C307" s="16" t="s">
        <v>14</v>
      </c>
      <c r="D307" s="16"/>
      <c r="E307" s="16"/>
      <c r="F307" s="16"/>
    </row>
    <row r="308" spans="1:6">
      <c r="A308" s="16" t="s">
        <v>155</v>
      </c>
      <c r="B308" s="17">
        <v>2.22222222222222E-6</v>
      </c>
      <c r="C308" s="16" t="s">
        <v>14</v>
      </c>
      <c r="D308" s="16"/>
      <c r="E308" s="16"/>
      <c r="F308" s="16"/>
    </row>
    <row r="309" spans="1:6">
      <c r="A309" s="16" t="s">
        <v>139</v>
      </c>
      <c r="B309" s="17">
        <v>2.5555555555555602E-5</v>
      </c>
      <c r="C309" s="16" t="s">
        <v>14</v>
      </c>
      <c r="D309" s="16"/>
      <c r="E309" s="16"/>
      <c r="F309" s="16"/>
    </row>
    <row r="310" spans="1:6">
      <c r="A310" s="16" t="s">
        <v>140</v>
      </c>
      <c r="B310" s="17">
        <v>1.11111111111111E-8</v>
      </c>
      <c r="C310" s="16" t="s">
        <v>14</v>
      </c>
      <c r="D310" s="16"/>
      <c r="E310" s="16"/>
      <c r="F310" s="16"/>
    </row>
    <row r="311" spans="1:6">
      <c r="A311" s="16" t="s">
        <v>141</v>
      </c>
      <c r="B311" s="17">
        <v>1.11111111111111E-7</v>
      </c>
      <c r="C311" s="16" t="s">
        <v>14</v>
      </c>
      <c r="D311" s="16"/>
      <c r="E311" s="16"/>
      <c r="F311" s="16"/>
    </row>
    <row r="312" spans="1:6">
      <c r="A312" s="17" t="s">
        <v>142</v>
      </c>
      <c r="B312" s="17">
        <v>1.33333333333333E-6</v>
      </c>
      <c r="C312" s="16" t="s">
        <v>14</v>
      </c>
      <c r="D312" s="16"/>
      <c r="E312" s="16"/>
      <c r="F312" s="16"/>
    </row>
    <row r="313" spans="1:6">
      <c r="A313" s="17" t="s">
        <v>143</v>
      </c>
      <c r="B313" s="17">
        <v>2.2222222222222201E-7</v>
      </c>
      <c r="C313" s="16" t="s">
        <v>14</v>
      </c>
      <c r="D313" s="16"/>
      <c r="E313" s="16"/>
      <c r="F313" s="16"/>
    </row>
    <row r="314" spans="1:6">
      <c r="A314" s="16" t="s">
        <v>144</v>
      </c>
      <c r="B314" s="17">
        <v>2.2222222222222201E-8</v>
      </c>
      <c r="C314" s="16" t="s">
        <v>14</v>
      </c>
      <c r="D314" s="16"/>
      <c r="E314" s="16"/>
      <c r="F314" s="16"/>
    </row>
    <row r="315" spans="1:6">
      <c r="A315" s="16" t="s">
        <v>120</v>
      </c>
      <c r="B315" s="17">
        <v>6.1111111111111095E-7</v>
      </c>
      <c r="C315" s="16" t="s">
        <v>14</v>
      </c>
      <c r="D315" s="16"/>
      <c r="E315" s="16"/>
      <c r="F315" s="16"/>
    </row>
    <row r="316" spans="1:6">
      <c r="A316" s="17" t="s">
        <v>147</v>
      </c>
      <c r="B316" s="17">
        <v>2.2222222222222201E-7</v>
      </c>
      <c r="C316" s="16" t="s">
        <v>14</v>
      </c>
      <c r="D316" s="16"/>
      <c r="E316" s="16"/>
      <c r="F316" s="16"/>
    </row>
    <row r="320" spans="1:6">
      <c r="B320" s="3"/>
    </row>
    <row r="321" spans="1:6">
      <c r="B321" s="3"/>
    </row>
    <row r="322" spans="1:6">
      <c r="B322" s="3"/>
    </row>
    <row r="329" spans="1:6">
      <c r="E329" s="3"/>
      <c r="F329" s="3"/>
    </row>
    <row r="330" spans="1:6">
      <c r="B330" s="3"/>
      <c r="E330" s="3"/>
      <c r="F330" s="3"/>
    </row>
    <row r="331" spans="1:6">
      <c r="B331" s="3"/>
      <c r="C331" s="3"/>
      <c r="E331" s="3"/>
      <c r="F331" s="3"/>
    </row>
    <row r="332" spans="1:6">
      <c r="B332" s="3"/>
      <c r="C332" s="3"/>
      <c r="E332" s="3"/>
      <c r="F332" s="3"/>
    </row>
    <row r="333" spans="1:6">
      <c r="B333" s="3"/>
      <c r="E333" s="3"/>
      <c r="F333" s="3"/>
    </row>
    <row r="334" spans="1:6">
      <c r="B334" s="3"/>
    </row>
    <row r="335" spans="1:6">
      <c r="A335" s="3"/>
    </row>
    <row r="341" spans="2:2">
      <c r="B341" s="3"/>
    </row>
    <row r="342" spans="2:2">
      <c r="B342" s="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BB8E6-1F33-4533-9A49-2758A946DE02}">
  <dimension ref="A1:F357"/>
  <sheetViews>
    <sheetView topLeftCell="A24" zoomScale="54" zoomScaleNormal="85" workbookViewId="0">
      <selection activeCell="F71" sqref="F71"/>
    </sheetView>
  </sheetViews>
  <sheetFormatPr baseColWidth="10" defaultColWidth="9" defaultRowHeight="14.25"/>
  <cols>
    <col min="1" max="1" width="78.125" customWidth="1"/>
    <col min="2" max="2" width="79" customWidth="1"/>
    <col min="3" max="3" width="21.75" customWidth="1"/>
    <col min="4" max="4" width="28" customWidth="1"/>
    <col min="5" max="5" width="43.625" customWidth="1"/>
    <col min="6" max="6" width="45.375" customWidth="1"/>
  </cols>
  <sheetData>
    <row r="1" spans="1:6" ht="15">
      <c r="A1" s="6" t="s">
        <v>6</v>
      </c>
      <c r="B1" s="6" t="s">
        <v>7</v>
      </c>
      <c r="C1" s="6" t="s">
        <v>8</v>
      </c>
      <c r="D1" s="6" t="s">
        <v>9</v>
      </c>
      <c r="E1" s="6" t="s">
        <v>10</v>
      </c>
      <c r="F1" s="6" t="s">
        <v>11</v>
      </c>
    </row>
    <row r="3" spans="1:6" ht="15">
      <c r="A3" s="36" t="s">
        <v>159</v>
      </c>
      <c r="B3" s="35"/>
      <c r="C3" s="35"/>
      <c r="D3" s="35"/>
      <c r="E3" s="35"/>
      <c r="F3" s="35"/>
    </row>
    <row r="4" spans="1:6">
      <c r="A4" s="35" t="s">
        <v>324</v>
      </c>
      <c r="B4" s="35">
        <v>0.1</v>
      </c>
      <c r="C4" s="35" t="s">
        <v>14</v>
      </c>
      <c r="D4" s="35"/>
      <c r="E4" s="35"/>
      <c r="F4" s="35"/>
    </row>
    <row r="5" spans="1:6">
      <c r="A5" s="35" t="s">
        <v>325</v>
      </c>
      <c r="B5" s="35">
        <v>0.24099999999999999</v>
      </c>
      <c r="C5" s="35"/>
      <c r="D5" s="35"/>
      <c r="E5" s="35"/>
      <c r="F5" s="35"/>
    </row>
    <row r="6" spans="1:6">
      <c r="A6" s="35" t="s">
        <v>160</v>
      </c>
      <c r="B6" s="35">
        <v>1.2210000000000001</v>
      </c>
      <c r="C6" s="35" t="s">
        <v>17</v>
      </c>
      <c r="D6" s="35"/>
      <c r="E6" s="35"/>
      <c r="F6" s="35"/>
    </row>
    <row r="7" spans="1:6">
      <c r="A7" s="42" t="s">
        <v>326</v>
      </c>
      <c r="B7" s="35">
        <v>0.55000000000000004</v>
      </c>
      <c r="C7" s="35"/>
      <c r="D7" s="35" t="s">
        <v>162</v>
      </c>
      <c r="E7" s="35"/>
      <c r="F7" s="35"/>
    </row>
    <row r="8" spans="1:6">
      <c r="A8" s="42" t="s">
        <v>327</v>
      </c>
      <c r="B8" s="35">
        <v>0.42799999999999999</v>
      </c>
      <c r="C8" s="35"/>
      <c r="D8" s="35" t="s">
        <v>162</v>
      </c>
      <c r="E8" s="35"/>
      <c r="F8" s="35"/>
    </row>
    <row r="9" spans="1:6">
      <c r="A9" s="42" t="s">
        <v>328</v>
      </c>
      <c r="B9" s="35">
        <v>2.1999999999999999E-2</v>
      </c>
      <c r="C9" s="35"/>
      <c r="D9" s="35" t="s">
        <v>162</v>
      </c>
      <c r="E9" s="35"/>
      <c r="F9" s="35"/>
    </row>
    <row r="10" spans="1:6">
      <c r="A10" s="42" t="s">
        <v>329</v>
      </c>
      <c r="B10" s="35">
        <v>0.79200000000000004</v>
      </c>
      <c r="C10" s="35"/>
      <c r="D10" s="35" t="s">
        <v>162</v>
      </c>
      <c r="E10" s="35"/>
      <c r="F10" s="35"/>
    </row>
    <row r="11" spans="1:6">
      <c r="A11" s="35" t="s">
        <v>166</v>
      </c>
      <c r="B11" s="35">
        <v>4.3249999999999997E-2</v>
      </c>
      <c r="C11" s="35" t="s">
        <v>14</v>
      </c>
      <c r="D11" s="35" t="s">
        <v>167</v>
      </c>
      <c r="E11" s="35"/>
      <c r="F11" s="35"/>
    </row>
    <row r="12" spans="1:6">
      <c r="A12" s="42" t="s">
        <v>168</v>
      </c>
      <c r="B12" s="35">
        <f>B17/27</f>
        <v>0.72592592592592597</v>
      </c>
      <c r="C12" s="35"/>
      <c r="D12" s="35" t="s">
        <v>169</v>
      </c>
      <c r="E12" s="35"/>
      <c r="F12" s="35"/>
    </row>
    <row r="13" spans="1:6">
      <c r="A13" s="42" t="s">
        <v>330</v>
      </c>
      <c r="B13" s="35">
        <f>17.9*4</f>
        <v>71.599999999999994</v>
      </c>
      <c r="C13" s="35" t="s">
        <v>171</v>
      </c>
      <c r="D13" s="35" t="s">
        <v>172</v>
      </c>
      <c r="E13" s="35"/>
      <c r="F13" s="35"/>
    </row>
    <row r="14" spans="1:6">
      <c r="A14" s="42" t="s">
        <v>331</v>
      </c>
      <c r="B14" s="35">
        <v>0.27</v>
      </c>
      <c r="C14" s="35" t="s">
        <v>174</v>
      </c>
      <c r="D14" s="35" t="s">
        <v>172</v>
      </c>
      <c r="E14" s="35"/>
      <c r="F14" s="35"/>
    </row>
    <row r="15" spans="1:6">
      <c r="A15" s="35" t="s">
        <v>22</v>
      </c>
      <c r="B15" s="35">
        <v>1.53579</v>
      </c>
      <c r="C15" s="35" t="s">
        <v>23</v>
      </c>
      <c r="D15" s="35"/>
      <c r="E15" s="35"/>
      <c r="F15" s="35"/>
    </row>
    <row r="16" spans="1:6">
      <c r="A16" s="35" t="s">
        <v>24</v>
      </c>
      <c r="B16" s="35">
        <v>2.513E-2</v>
      </c>
      <c r="C16" s="35" t="s">
        <v>23</v>
      </c>
      <c r="D16" s="35"/>
      <c r="E16" s="35"/>
      <c r="F16" s="35"/>
    </row>
    <row r="17" spans="1:6">
      <c r="A17" s="35" t="s">
        <v>332</v>
      </c>
      <c r="B17" s="35">
        <v>19.600000000000001</v>
      </c>
      <c r="C17" s="35" t="s">
        <v>177</v>
      </c>
      <c r="D17" s="35"/>
      <c r="E17" s="35"/>
      <c r="F17" s="35"/>
    </row>
    <row r="19" spans="1:6" ht="15">
      <c r="A19" s="34" t="s">
        <v>178</v>
      </c>
      <c r="B19" s="28"/>
      <c r="C19" s="28"/>
      <c r="D19" s="28"/>
      <c r="E19" s="28"/>
      <c r="F19" s="28"/>
    </row>
    <row r="20" spans="1:6" ht="15">
      <c r="A20" s="27" t="s">
        <v>44</v>
      </c>
      <c r="B20" s="28"/>
      <c r="C20" s="28"/>
      <c r="D20" s="28"/>
      <c r="E20" s="28"/>
      <c r="F20" s="28"/>
    </row>
    <row r="21" spans="1:6">
      <c r="A21" s="28" t="s">
        <v>45</v>
      </c>
      <c r="B21" s="28">
        <v>1</v>
      </c>
      <c r="C21" s="28" t="s">
        <v>46</v>
      </c>
      <c r="D21" s="28"/>
      <c r="E21" s="28"/>
      <c r="F21" s="28"/>
    </row>
    <row r="22" spans="1:6">
      <c r="A22" s="28" t="s">
        <v>47</v>
      </c>
      <c r="B22" s="28">
        <v>0.15650723831737146</v>
      </c>
      <c r="C22" s="28" t="s">
        <v>46</v>
      </c>
      <c r="D22" s="28"/>
      <c r="E22" s="28"/>
      <c r="F22" s="28"/>
    </row>
    <row r="23" spans="1:6">
      <c r="A23" s="28" t="s">
        <v>48</v>
      </c>
      <c r="B23" s="28">
        <v>1</v>
      </c>
      <c r="C23" s="28" t="s">
        <v>46</v>
      </c>
      <c r="D23" s="28"/>
      <c r="E23" s="28"/>
      <c r="F23" s="28"/>
    </row>
    <row r="24" spans="1:6">
      <c r="A24" s="28" t="s">
        <v>49</v>
      </c>
      <c r="B24" s="28">
        <v>6.2279044296606232</v>
      </c>
      <c r="C24" s="28" t="s">
        <v>46</v>
      </c>
      <c r="D24" s="28"/>
      <c r="E24" s="28"/>
      <c r="F24" s="28"/>
    </row>
    <row r="25" spans="1:6">
      <c r="A25" s="28" t="s">
        <v>51</v>
      </c>
      <c r="B25" s="28">
        <v>-6.2279044296606232</v>
      </c>
      <c r="C25" s="28" t="s">
        <v>50</v>
      </c>
      <c r="D25" s="28"/>
      <c r="E25" s="28"/>
      <c r="F25" s="28" t="s">
        <v>52</v>
      </c>
    </row>
    <row r="26" spans="1:6">
      <c r="A26" s="28" t="s">
        <v>53</v>
      </c>
      <c r="B26" s="28">
        <v>1</v>
      </c>
      <c r="C26" s="28" t="s">
        <v>46</v>
      </c>
      <c r="D26" s="28"/>
      <c r="E26" s="28"/>
      <c r="F26" s="28"/>
    </row>
    <row r="27" spans="1:6">
      <c r="A27" s="28" t="s">
        <v>54</v>
      </c>
      <c r="B27" s="29">
        <v>1</v>
      </c>
      <c r="C27" s="28" t="s">
        <v>46</v>
      </c>
      <c r="D27" s="28"/>
      <c r="E27" s="28"/>
      <c r="F27" s="28"/>
    </row>
    <row r="28" spans="1:6">
      <c r="A28" s="28" t="s">
        <v>179</v>
      </c>
      <c r="B28" s="28">
        <v>1</v>
      </c>
      <c r="C28" s="28" t="s">
        <v>46</v>
      </c>
      <c r="D28" s="28"/>
      <c r="E28" s="28"/>
      <c r="F28" s="28"/>
    </row>
    <row r="29" spans="1:6">
      <c r="A29" s="28" t="s">
        <v>180</v>
      </c>
      <c r="B29" s="28">
        <v>1</v>
      </c>
      <c r="C29" s="28" t="s">
        <v>46</v>
      </c>
      <c r="D29" s="28"/>
      <c r="E29" s="28"/>
      <c r="F29" s="28"/>
    </row>
    <row r="30" spans="1:6" ht="15">
      <c r="A30" s="28" t="s">
        <v>181</v>
      </c>
      <c r="B30" s="29">
        <f>B83*B12/B11</f>
        <v>0.77851709127239022</v>
      </c>
      <c r="C30" s="28" t="s">
        <v>46</v>
      </c>
      <c r="D30" s="28"/>
      <c r="E30" s="27"/>
      <c r="F30" s="28"/>
    </row>
    <row r="31" spans="1:6">
      <c r="A31" s="28" t="s">
        <v>182</v>
      </c>
      <c r="B31" s="29">
        <f>-B30</f>
        <v>-0.77851709127239022</v>
      </c>
      <c r="C31" s="28" t="s">
        <v>50</v>
      </c>
      <c r="D31" s="28"/>
      <c r="E31" s="28"/>
      <c r="F31" s="28" t="s">
        <v>183</v>
      </c>
    </row>
    <row r="32" spans="1:6">
      <c r="A32" s="28" t="s">
        <v>184</v>
      </c>
      <c r="B32" s="28">
        <v>1</v>
      </c>
      <c r="C32" s="28" t="s">
        <v>46</v>
      </c>
      <c r="D32" s="28"/>
      <c r="E32" s="28"/>
      <c r="F32" s="28"/>
    </row>
    <row r="33" spans="1:6">
      <c r="A33" s="28" t="s">
        <v>185</v>
      </c>
      <c r="B33" s="29">
        <f>(B242/1000)/B15</f>
        <v>3.7161512878112839E-3</v>
      </c>
      <c r="C33" s="28" t="s">
        <v>46</v>
      </c>
      <c r="D33" s="28"/>
      <c r="E33" s="28"/>
      <c r="F33" s="28"/>
    </row>
    <row r="34" spans="1:6">
      <c r="A34" s="28" t="s">
        <v>186</v>
      </c>
      <c r="B34" s="29">
        <f>B33/B16</f>
        <v>0.14787709064111754</v>
      </c>
      <c r="C34" s="28" t="s">
        <v>46</v>
      </c>
      <c r="D34" s="28"/>
      <c r="E34" s="28"/>
      <c r="F34" s="28"/>
    </row>
    <row r="35" spans="1:6">
      <c r="A35" s="28" t="s">
        <v>187</v>
      </c>
      <c r="B35" s="29">
        <f>-B34</f>
        <v>-0.14787709064111754</v>
      </c>
      <c r="C35" s="28" t="s">
        <v>50</v>
      </c>
      <c r="D35" s="28"/>
      <c r="E35" s="28"/>
      <c r="F35" s="28" t="s">
        <v>52</v>
      </c>
    </row>
    <row r="36" spans="1:6">
      <c r="A36" s="28" t="s">
        <v>55</v>
      </c>
      <c r="B36" s="29">
        <v>-2.3553072625698331E-3</v>
      </c>
      <c r="C36" s="28" t="s">
        <v>14</v>
      </c>
      <c r="D36" s="28"/>
      <c r="E36" s="28"/>
      <c r="F36" s="28"/>
    </row>
    <row r="37" spans="1:6">
      <c r="A37" s="28" t="s">
        <v>57</v>
      </c>
      <c r="B37" s="29">
        <v>-1.0446020544242209E-3</v>
      </c>
      <c r="C37" s="28" t="s">
        <v>14</v>
      </c>
      <c r="D37" s="28"/>
      <c r="E37" s="28"/>
      <c r="F37" s="28"/>
    </row>
    <row r="38" spans="1:6">
      <c r="A38" s="28" t="s">
        <v>59</v>
      </c>
      <c r="B38" s="29">
        <v>-5.4965156854318872E-4</v>
      </c>
      <c r="C38" s="28" t="s">
        <v>14</v>
      </c>
      <c r="D38" s="28"/>
      <c r="E38" s="28"/>
      <c r="F38" s="28"/>
    </row>
    <row r="39" spans="1:6">
      <c r="A39" s="28"/>
      <c r="B39" s="28"/>
      <c r="C39" s="28"/>
      <c r="D39" s="28"/>
      <c r="E39" s="28"/>
      <c r="F39" s="28"/>
    </row>
    <row r="40" spans="1:6" ht="15">
      <c r="A40" s="27" t="s">
        <v>61</v>
      </c>
      <c r="B40" s="28"/>
      <c r="C40" s="28"/>
      <c r="D40" s="28"/>
      <c r="E40" s="28"/>
      <c r="F40" s="28"/>
    </row>
    <row r="41" spans="1:6">
      <c r="A41" s="28" t="s">
        <v>62</v>
      </c>
      <c r="B41" s="28">
        <v>1</v>
      </c>
      <c r="C41" s="28" t="s">
        <v>14</v>
      </c>
      <c r="D41" s="28"/>
      <c r="E41" s="28"/>
      <c r="F41" s="28"/>
    </row>
    <row r="43" spans="1:6" ht="15">
      <c r="A43" s="1" t="s">
        <v>317</v>
      </c>
    </row>
    <row r="44" spans="1:6" ht="15">
      <c r="A44" s="31" t="s">
        <v>333</v>
      </c>
      <c r="B44" s="19"/>
      <c r="C44" s="19"/>
      <c r="D44" s="19"/>
      <c r="E44" s="19"/>
      <c r="F44" s="19"/>
    </row>
    <row r="45" spans="1:6" ht="15">
      <c r="A45" s="18" t="s">
        <v>44</v>
      </c>
      <c r="B45" s="19"/>
      <c r="C45" s="19"/>
      <c r="D45" s="19"/>
      <c r="E45" s="19"/>
      <c r="F45" s="19"/>
    </row>
    <row r="46" spans="1:6">
      <c r="A46" s="19" t="s">
        <v>64</v>
      </c>
      <c r="B46" s="19">
        <f>20/1500</f>
        <v>1.3333333333333334E-2</v>
      </c>
      <c r="C46" s="19" t="s">
        <v>65</v>
      </c>
      <c r="D46" s="19"/>
      <c r="E46" s="19" t="s">
        <v>75</v>
      </c>
      <c r="F46" s="19" t="s">
        <v>68</v>
      </c>
    </row>
    <row r="47" spans="1:6">
      <c r="A47" s="19" t="s">
        <v>69</v>
      </c>
      <c r="B47" s="19">
        <f>2000/(20*3000*1500)</f>
        <v>2.2222222222222223E-5</v>
      </c>
      <c r="C47" s="19" t="s">
        <v>70</v>
      </c>
      <c r="D47" s="19"/>
      <c r="E47" s="19"/>
      <c r="F47" s="19" t="s">
        <v>72</v>
      </c>
    </row>
    <row r="48" spans="1:6">
      <c r="A48" s="19"/>
      <c r="B48" s="19"/>
      <c r="C48" s="19"/>
      <c r="D48" s="19"/>
      <c r="E48" s="19"/>
      <c r="F48" s="19"/>
    </row>
    <row r="49" spans="1:6" ht="15">
      <c r="A49" s="18" t="s">
        <v>76</v>
      </c>
      <c r="B49" s="19"/>
      <c r="C49" s="19"/>
      <c r="D49" s="19"/>
      <c r="E49" s="19"/>
      <c r="F49" s="19"/>
    </row>
    <row r="50" spans="1:6">
      <c r="A50" s="19" t="s">
        <v>53</v>
      </c>
      <c r="B50" s="19">
        <v>1</v>
      </c>
      <c r="C50" s="19" t="s">
        <v>73</v>
      </c>
      <c r="D50" s="19"/>
      <c r="E50" s="19"/>
      <c r="F50" s="19"/>
    </row>
    <row r="51" spans="1:6">
      <c r="A51" s="43" t="s">
        <v>334</v>
      </c>
      <c r="B51" s="43">
        <v>0.1</v>
      </c>
      <c r="C51" s="43" t="s">
        <v>14</v>
      </c>
      <c r="D51" s="19"/>
      <c r="E51" s="19"/>
      <c r="F51" s="19" t="s">
        <v>78</v>
      </c>
    </row>
    <row r="53" spans="1:6" ht="15">
      <c r="A53" s="18" t="s">
        <v>189</v>
      </c>
      <c r="B53" s="19"/>
      <c r="C53" s="19"/>
      <c r="D53" s="19"/>
      <c r="E53" s="19"/>
      <c r="F53" s="19"/>
    </row>
    <row r="54" spans="1:6" ht="15">
      <c r="A54" s="18" t="s">
        <v>44</v>
      </c>
      <c r="B54" s="19"/>
      <c r="C54" s="19"/>
      <c r="D54" s="19"/>
      <c r="E54" s="19"/>
      <c r="F54" s="19"/>
    </row>
    <row r="55" spans="1:6">
      <c r="A55" s="19" t="s">
        <v>85</v>
      </c>
      <c r="B55" s="19">
        <v>4.8703624122618545E-3</v>
      </c>
      <c r="C55" s="19" t="s">
        <v>65</v>
      </c>
      <c r="D55" s="19" t="s">
        <v>97</v>
      </c>
      <c r="E55" s="19" t="s">
        <v>98</v>
      </c>
      <c r="F55" s="19" t="s">
        <v>68</v>
      </c>
    </row>
    <row r="56" spans="1:6">
      <c r="A56" s="19" t="s">
        <v>99</v>
      </c>
      <c r="B56" s="20">
        <v>6.4102564102564103E-5</v>
      </c>
      <c r="C56" s="19" t="s">
        <v>14</v>
      </c>
      <c r="D56" s="19" t="s">
        <v>100</v>
      </c>
      <c r="E56" s="19" t="s">
        <v>101</v>
      </c>
      <c r="F56" s="19" t="s">
        <v>72</v>
      </c>
    </row>
    <row r="57" spans="1:6">
      <c r="A57" s="19"/>
      <c r="B57" s="19"/>
      <c r="C57" s="19"/>
      <c r="D57" s="19"/>
      <c r="E57" s="19"/>
      <c r="F57" s="19"/>
    </row>
    <row r="58" spans="1:6" ht="15">
      <c r="A58" s="18" t="s">
        <v>76</v>
      </c>
      <c r="B58" s="19"/>
      <c r="C58" s="19"/>
      <c r="D58" s="19"/>
      <c r="E58" s="19"/>
      <c r="F58" s="19"/>
    </row>
    <row r="59" spans="1:6">
      <c r="A59" s="19" t="s">
        <v>189</v>
      </c>
      <c r="B59" s="19">
        <v>1</v>
      </c>
      <c r="C59" s="19" t="s">
        <v>46</v>
      </c>
      <c r="D59" s="19"/>
      <c r="E59" s="19"/>
      <c r="F59" s="19"/>
    </row>
    <row r="60" spans="1:6">
      <c r="A60" s="19" t="s">
        <v>190</v>
      </c>
      <c r="B60" s="20">
        <f>0.253258845437616/1000</f>
        <v>2.5325884543761599E-4</v>
      </c>
      <c r="C60" s="19" t="s">
        <v>23</v>
      </c>
      <c r="D60" s="19"/>
      <c r="E60" s="19"/>
      <c r="F60" s="19" t="s">
        <v>104</v>
      </c>
    </row>
    <row r="61" spans="1:6">
      <c r="A61" s="19" t="s">
        <v>105</v>
      </c>
      <c r="B61" s="20">
        <v>0.2532588454376164</v>
      </c>
      <c r="C61" s="19" t="s">
        <v>14</v>
      </c>
      <c r="D61" s="19"/>
      <c r="E61" s="19"/>
      <c r="F61" s="19"/>
    </row>
    <row r="63" spans="1:6" ht="15">
      <c r="A63" s="15" t="s">
        <v>335</v>
      </c>
      <c r="B63" s="16"/>
      <c r="C63" s="16"/>
      <c r="D63" s="16"/>
      <c r="E63" s="16"/>
      <c r="F63" s="16"/>
    </row>
    <row r="64" spans="1:6" ht="15">
      <c r="A64" s="15" t="s">
        <v>44</v>
      </c>
      <c r="B64" s="16"/>
      <c r="C64" s="16"/>
      <c r="D64" s="16"/>
      <c r="E64" s="16"/>
      <c r="F64" s="16"/>
    </row>
    <row r="65" spans="1:6">
      <c r="A65" s="16" t="s">
        <v>64</v>
      </c>
      <c r="B65" s="17">
        <f>0.3*(B4+B67)</f>
        <v>0.11385000000000001</v>
      </c>
      <c r="C65" s="16" t="s">
        <v>65</v>
      </c>
      <c r="D65" s="16"/>
      <c r="E65" s="16" t="s">
        <v>321</v>
      </c>
      <c r="F65" s="16" t="s">
        <v>68</v>
      </c>
    </row>
    <row r="66" spans="1:6">
      <c r="A66" s="16" t="s">
        <v>99</v>
      </c>
      <c r="B66" s="17">
        <v>2.2222222222222223E-5</v>
      </c>
      <c r="C66" s="16" t="s">
        <v>70</v>
      </c>
      <c r="D66" s="16"/>
      <c r="E66" s="16" t="s">
        <v>198</v>
      </c>
      <c r="F66" s="16" t="s">
        <v>72</v>
      </c>
    </row>
    <row r="67" spans="1:6">
      <c r="A67" s="16" t="s">
        <v>199</v>
      </c>
      <c r="B67" s="17">
        <f>(B4*(1-B5)-B4*0.2)/0.2</f>
        <v>0.27950000000000003</v>
      </c>
      <c r="C67" s="16" t="s">
        <v>14</v>
      </c>
      <c r="D67" s="16"/>
      <c r="E67" s="16" t="s">
        <v>200</v>
      </c>
      <c r="F67" s="16" t="s">
        <v>201</v>
      </c>
    </row>
    <row r="68" spans="1:6">
      <c r="A68" s="16"/>
      <c r="B68" s="16"/>
      <c r="C68" s="16"/>
      <c r="D68" s="16"/>
      <c r="E68" s="16"/>
      <c r="F68" s="16"/>
    </row>
    <row r="69" spans="1:6" ht="15">
      <c r="A69" s="15" t="s">
        <v>61</v>
      </c>
      <c r="B69" s="16"/>
      <c r="C69" s="16"/>
      <c r="D69" s="16"/>
      <c r="E69" s="16"/>
      <c r="F69" s="16"/>
    </row>
    <row r="70" spans="1:6">
      <c r="A70" s="16" t="s">
        <v>336</v>
      </c>
      <c r="B70" s="16">
        <v>1</v>
      </c>
      <c r="C70" s="16" t="s">
        <v>46</v>
      </c>
      <c r="D70" s="16"/>
      <c r="E70" s="16"/>
      <c r="F70" s="16"/>
    </row>
    <row r="71" spans="1:6">
      <c r="A71" s="16" t="s">
        <v>203</v>
      </c>
      <c r="B71" s="17">
        <f>B4*(1-B5)*B7/(1-B10)</f>
        <v>0.20069711538461549</v>
      </c>
      <c r="C71" s="16" t="s">
        <v>14</v>
      </c>
      <c r="D71" s="16"/>
      <c r="E71" s="16"/>
      <c r="F71" s="16"/>
    </row>
    <row r="72" spans="1:6">
      <c r="A72" s="16" t="s">
        <v>204</v>
      </c>
      <c r="B72" s="17">
        <f>(B4+B67)-(B71+B73+B74)</f>
        <v>0.17713308461538457</v>
      </c>
      <c r="C72" s="16" t="s">
        <v>14</v>
      </c>
      <c r="D72" s="16"/>
      <c r="E72" s="16"/>
      <c r="F72" s="16"/>
    </row>
    <row r="73" spans="1:6">
      <c r="A73" s="16" t="s">
        <v>92</v>
      </c>
      <c r="B73" s="17">
        <f>B4*(1-B5)*B9*0.95</f>
        <v>1.5863100000000001E-3</v>
      </c>
      <c r="C73" s="16" t="s">
        <v>14</v>
      </c>
      <c r="D73" s="16"/>
      <c r="E73" s="16" t="s">
        <v>205</v>
      </c>
      <c r="F73" s="16"/>
    </row>
    <row r="74" spans="1:6">
      <c r="A74" s="16" t="s">
        <v>133</v>
      </c>
      <c r="B74" s="17">
        <f>B4*(1-B5)*B9*0.05</f>
        <v>8.3490000000000015E-5</v>
      </c>
      <c r="C74" s="16" t="s">
        <v>14</v>
      </c>
      <c r="D74" s="16"/>
      <c r="E74" s="16"/>
      <c r="F74" s="16"/>
    </row>
    <row r="76" spans="1:6" ht="15">
      <c r="A76" s="12" t="s">
        <v>206</v>
      </c>
      <c r="B76" s="11"/>
      <c r="C76" s="11"/>
      <c r="D76" s="11"/>
      <c r="E76" s="11"/>
      <c r="F76" s="11"/>
    </row>
    <row r="77" spans="1:6" ht="15">
      <c r="A77" s="12" t="s">
        <v>44</v>
      </c>
      <c r="B77" s="11"/>
      <c r="C77" s="11"/>
      <c r="D77" s="11"/>
      <c r="E77" s="11"/>
      <c r="F77" s="11"/>
    </row>
    <row r="78" spans="1:6">
      <c r="A78" s="11" t="s">
        <v>64</v>
      </c>
      <c r="B78" s="14">
        <f>(B71 - (B71 * (1 - B10) / (1 - 0.1))) * (2260 / (0.7 * 3600))</f>
        <v>0.13839251882376893</v>
      </c>
      <c r="C78" s="11" t="s">
        <v>65</v>
      </c>
      <c r="D78" s="11"/>
      <c r="E78" s="11" t="s">
        <v>207</v>
      </c>
      <c r="F78" s="11" t="s">
        <v>68</v>
      </c>
    </row>
    <row r="79" spans="1:6">
      <c r="A79" s="11" t="s">
        <v>208</v>
      </c>
      <c r="B79" s="14">
        <v>2.1367521367521368E-5</v>
      </c>
      <c r="C79" s="11" t="s">
        <v>14</v>
      </c>
      <c r="D79" s="11"/>
      <c r="E79" s="11" t="s">
        <v>209</v>
      </c>
      <c r="F79" s="11" t="s">
        <v>72</v>
      </c>
    </row>
    <row r="80" spans="1:6">
      <c r="A80" s="11"/>
      <c r="B80" s="11"/>
      <c r="C80" s="11"/>
      <c r="D80" s="11"/>
      <c r="E80" s="11"/>
      <c r="F80" s="11"/>
    </row>
    <row r="81" spans="1:6" ht="15">
      <c r="A81" s="12" t="s">
        <v>61</v>
      </c>
      <c r="B81" s="11"/>
      <c r="C81" s="11"/>
      <c r="D81" s="11"/>
      <c r="E81" s="11"/>
      <c r="F81" s="11"/>
    </row>
    <row r="82" spans="1:6">
      <c r="A82" s="11" t="s">
        <v>180</v>
      </c>
      <c r="B82" s="11">
        <v>1</v>
      </c>
      <c r="C82" s="11" t="s">
        <v>46</v>
      </c>
      <c r="D82" s="11"/>
      <c r="E82" s="11"/>
      <c r="F82" s="11"/>
    </row>
    <row r="83" spans="1:6">
      <c r="A83" s="11" t="s">
        <v>210</v>
      </c>
      <c r="B83" s="14">
        <f>(B71*(1-B10))/0.9</f>
        <v>4.6383333333333346E-2</v>
      </c>
      <c r="C83" s="11" t="s">
        <v>14</v>
      </c>
      <c r="D83" s="11"/>
      <c r="E83" s="11"/>
      <c r="F83" s="11"/>
    </row>
    <row r="84" spans="1:6">
      <c r="A84" s="11" t="s">
        <v>212</v>
      </c>
      <c r="B84" s="14">
        <f>(B71-B83)/1000</f>
        <v>1.5431378205128216E-4</v>
      </c>
      <c r="C84" s="11" t="s">
        <v>23</v>
      </c>
      <c r="D84" s="11"/>
      <c r="E84" s="11" t="s">
        <v>322</v>
      </c>
      <c r="F84" s="11" t="s">
        <v>104</v>
      </c>
    </row>
    <row r="86" spans="1:6" ht="15">
      <c r="A86" s="21" t="s">
        <v>213</v>
      </c>
      <c r="B86" s="22"/>
      <c r="C86" s="22"/>
      <c r="D86" s="21" t="s">
        <v>167</v>
      </c>
      <c r="E86" s="22"/>
      <c r="F86" s="22"/>
    </row>
    <row r="87" spans="1:6" ht="15">
      <c r="A87" s="21" t="s">
        <v>44</v>
      </c>
      <c r="B87" s="22"/>
      <c r="C87" s="22"/>
      <c r="D87" s="22"/>
      <c r="E87" s="22"/>
      <c r="F87" s="22"/>
    </row>
    <row r="88" spans="1:6">
      <c r="A88" s="22" t="s">
        <v>85</v>
      </c>
      <c r="B88" s="22">
        <v>5.2249999999999996E-3</v>
      </c>
      <c r="C88" s="22" t="s">
        <v>86</v>
      </c>
      <c r="D88" s="22"/>
      <c r="E88" s="22"/>
      <c r="F88" s="22" t="s">
        <v>68</v>
      </c>
    </row>
    <row r="89" spans="1:6">
      <c r="A89" s="22" t="s">
        <v>214</v>
      </c>
      <c r="B89" s="22">
        <v>9.3749999999999997E-3</v>
      </c>
      <c r="C89" s="22" t="s">
        <v>14</v>
      </c>
      <c r="D89" s="22"/>
      <c r="E89" s="22"/>
      <c r="F89" s="22" t="s">
        <v>215</v>
      </c>
    </row>
    <row r="90" spans="1:6">
      <c r="A90" s="22" t="s">
        <v>216</v>
      </c>
      <c r="B90" s="23">
        <v>6.9499999999999998E-10</v>
      </c>
      <c r="C90" s="22" t="s">
        <v>46</v>
      </c>
      <c r="D90" s="22"/>
      <c r="E90" s="22"/>
      <c r="F90" s="22" t="s">
        <v>217</v>
      </c>
    </row>
    <row r="91" spans="1:6">
      <c r="A91" s="22"/>
      <c r="B91" s="23"/>
      <c r="C91" s="22"/>
      <c r="D91" s="22"/>
      <c r="E91" s="22"/>
      <c r="F91" s="22"/>
    </row>
    <row r="92" spans="1:6" ht="15">
      <c r="A92" s="21" t="s">
        <v>61</v>
      </c>
      <c r="B92" s="22"/>
      <c r="C92" s="22"/>
      <c r="D92" s="22"/>
      <c r="E92" s="22"/>
      <c r="F92" s="22"/>
    </row>
    <row r="93" spans="1:6">
      <c r="A93" s="22" t="s">
        <v>218</v>
      </c>
      <c r="B93" s="22">
        <v>1</v>
      </c>
      <c r="C93" s="22" t="s">
        <v>46</v>
      </c>
      <c r="D93" s="22"/>
      <c r="E93" s="22"/>
      <c r="F93" s="22"/>
    </row>
    <row r="94" spans="1:6">
      <c r="A94" s="22" t="s">
        <v>219</v>
      </c>
      <c r="B94" s="22">
        <v>0</v>
      </c>
      <c r="C94" s="22" t="s">
        <v>50</v>
      </c>
      <c r="D94" s="22"/>
      <c r="E94" s="22" t="s">
        <v>220</v>
      </c>
      <c r="F94" s="22"/>
    </row>
    <row r="95" spans="1:6">
      <c r="A95" s="22" t="s">
        <v>221</v>
      </c>
      <c r="B95" s="22">
        <v>3.6250000000000002E-3</v>
      </c>
      <c r="C95" s="22" t="s">
        <v>14</v>
      </c>
      <c r="D95" s="22"/>
      <c r="E95" s="22"/>
      <c r="F95" s="22" t="s">
        <v>223</v>
      </c>
    </row>
    <row r="96" spans="1:6">
      <c r="A96" s="22" t="s">
        <v>224</v>
      </c>
      <c r="B96" s="23">
        <v>6.2500000000000005E-7</v>
      </c>
      <c r="C96" s="22" t="s">
        <v>14</v>
      </c>
      <c r="D96" s="22"/>
      <c r="E96" s="22"/>
      <c r="F96" s="22"/>
    </row>
    <row r="97" spans="1:6">
      <c r="A97" s="22" t="s">
        <v>226</v>
      </c>
      <c r="B97" s="23">
        <v>1.3375E-5</v>
      </c>
      <c r="C97" s="22" t="s">
        <v>14</v>
      </c>
      <c r="D97" s="22"/>
      <c r="E97" s="22"/>
      <c r="F97" s="22"/>
    </row>
    <row r="98" spans="1:6">
      <c r="A98" s="22" t="s">
        <v>227</v>
      </c>
      <c r="B98" s="23">
        <v>1.9749999999999999E-9</v>
      </c>
      <c r="C98" s="22" t="s">
        <v>14</v>
      </c>
      <c r="D98" s="22"/>
      <c r="E98" s="22"/>
      <c r="F98" s="22"/>
    </row>
    <row r="99" spans="1:6">
      <c r="A99" s="22" t="s">
        <v>228</v>
      </c>
      <c r="B99" s="23">
        <v>1.575E-7</v>
      </c>
      <c r="C99" s="22" t="s">
        <v>14</v>
      </c>
      <c r="D99" s="22"/>
      <c r="E99" s="22"/>
      <c r="F99" s="22"/>
    </row>
    <row r="100" spans="1:6">
      <c r="A100" s="22" t="s">
        <v>229</v>
      </c>
      <c r="B100" s="23">
        <v>1.575E-9</v>
      </c>
      <c r="C100" s="22" t="s">
        <v>14</v>
      </c>
      <c r="D100" s="22"/>
      <c r="E100" s="22"/>
      <c r="F100" s="22"/>
    </row>
    <row r="101" spans="1:6">
      <c r="A101" s="22" t="s">
        <v>230</v>
      </c>
      <c r="B101" s="23">
        <v>5.9250000000000004E-7</v>
      </c>
      <c r="C101" s="22" t="s">
        <v>14</v>
      </c>
      <c r="D101" s="22"/>
      <c r="E101" s="22"/>
      <c r="F101" s="22"/>
    </row>
    <row r="102" spans="1:6">
      <c r="A102" s="22" t="s">
        <v>231</v>
      </c>
      <c r="B102" s="23">
        <v>1.185E-8</v>
      </c>
      <c r="C102" s="22" t="s">
        <v>14</v>
      </c>
      <c r="D102" s="22"/>
      <c r="E102" s="22"/>
      <c r="F102" s="22"/>
    </row>
    <row r="103" spans="1:6">
      <c r="A103" s="22" t="s">
        <v>232</v>
      </c>
      <c r="B103" s="23">
        <v>1.9749999999999999E-9</v>
      </c>
      <c r="C103" s="22" t="s">
        <v>14</v>
      </c>
      <c r="D103" s="22"/>
      <c r="E103" s="22"/>
      <c r="F103" s="22"/>
    </row>
    <row r="104" spans="1:6">
      <c r="A104" s="22" t="s">
        <v>233</v>
      </c>
      <c r="B104" s="23">
        <v>1.575E-6</v>
      </c>
      <c r="C104" s="22" t="s">
        <v>14</v>
      </c>
      <c r="D104" s="22"/>
      <c r="E104" s="22"/>
      <c r="F104" s="22"/>
    </row>
    <row r="105" spans="1:6">
      <c r="A105" s="22" t="s">
        <v>92</v>
      </c>
      <c r="B105" s="22">
        <v>0.114375</v>
      </c>
      <c r="C105" s="22" t="s">
        <v>14</v>
      </c>
      <c r="D105" s="22"/>
      <c r="E105" s="22"/>
      <c r="F105" s="22"/>
    </row>
    <row r="106" spans="1:6">
      <c r="A106" s="22" t="s">
        <v>133</v>
      </c>
      <c r="B106" s="23">
        <v>1.25E-4</v>
      </c>
      <c r="C106" s="22" t="s">
        <v>14</v>
      </c>
      <c r="D106" s="22"/>
      <c r="E106" s="22"/>
      <c r="F106" s="22"/>
    </row>
    <row r="107" spans="1:6">
      <c r="A107" s="22" t="s">
        <v>234</v>
      </c>
      <c r="B107" s="23">
        <v>2.8124999999999999E-8</v>
      </c>
      <c r="C107" s="22" t="s">
        <v>14</v>
      </c>
      <c r="D107" s="22"/>
      <c r="E107" s="22"/>
      <c r="F107" s="22"/>
    </row>
    <row r="108" spans="1:6">
      <c r="A108" s="22" t="s">
        <v>235</v>
      </c>
      <c r="B108" s="23">
        <v>3.4750000000000001E-9</v>
      </c>
      <c r="C108" s="22" t="s">
        <v>14</v>
      </c>
      <c r="D108" s="22"/>
      <c r="E108" s="22"/>
      <c r="F108" s="22"/>
    </row>
    <row r="109" spans="1:6">
      <c r="A109" s="22" t="s">
        <v>236</v>
      </c>
      <c r="B109" s="23">
        <v>3.9499999999999998E-9</v>
      </c>
      <c r="C109" s="22" t="s">
        <v>14</v>
      </c>
      <c r="D109" s="22"/>
      <c r="E109" s="22"/>
      <c r="F109" s="22"/>
    </row>
    <row r="110" spans="1:6">
      <c r="A110" s="22" t="s">
        <v>237</v>
      </c>
      <c r="B110" s="23">
        <v>2.0750000000000001E-8</v>
      </c>
      <c r="C110" s="22" t="s">
        <v>14</v>
      </c>
      <c r="D110" s="22"/>
      <c r="E110" s="22"/>
      <c r="F110" s="22"/>
    </row>
    <row r="111" spans="1:6">
      <c r="A111" s="22" t="s">
        <v>93</v>
      </c>
      <c r="B111" s="23">
        <v>1.2500000000000001E-6</v>
      </c>
      <c r="C111" s="22" t="s">
        <v>14</v>
      </c>
      <c r="D111" s="22"/>
      <c r="E111" s="22"/>
      <c r="F111" s="22"/>
    </row>
    <row r="112" spans="1:6">
      <c r="A112" s="22" t="s">
        <v>134</v>
      </c>
      <c r="B112" s="23">
        <v>2.5000000000000001E-14</v>
      </c>
      <c r="C112" s="22" t="s">
        <v>14</v>
      </c>
      <c r="D112" s="22"/>
      <c r="E112" s="22"/>
      <c r="F112" s="22"/>
    </row>
    <row r="113" spans="1:6">
      <c r="A113" s="22" t="s">
        <v>135</v>
      </c>
      <c r="B113" s="23">
        <v>9.9999999999999995E-8</v>
      </c>
      <c r="C113" s="22" t="s">
        <v>14</v>
      </c>
      <c r="D113" s="22"/>
      <c r="E113" s="22"/>
      <c r="F113" s="22"/>
    </row>
    <row r="114" spans="1:6">
      <c r="A114" s="22" t="s">
        <v>238</v>
      </c>
      <c r="B114" s="23">
        <v>6.2500000000000005E-7</v>
      </c>
      <c r="C114" s="22" t="s">
        <v>14</v>
      </c>
      <c r="D114" s="22"/>
      <c r="E114" s="22"/>
      <c r="F114" s="22"/>
    </row>
    <row r="115" spans="1:6">
      <c r="A115" s="22" t="s">
        <v>239</v>
      </c>
      <c r="B115" s="23">
        <v>6.2500000000000005E-7</v>
      </c>
      <c r="C115" s="22" t="s">
        <v>14</v>
      </c>
      <c r="D115" s="22"/>
      <c r="E115" s="22"/>
      <c r="F115" s="22"/>
    </row>
    <row r="116" spans="1:6">
      <c r="A116" s="22" t="s">
        <v>240</v>
      </c>
      <c r="B116" s="23">
        <v>5.0624999999999997E-5</v>
      </c>
      <c r="C116" s="22" t="s">
        <v>14</v>
      </c>
      <c r="D116" s="22"/>
      <c r="E116" s="22"/>
      <c r="F116" s="22"/>
    </row>
    <row r="117" spans="1:6">
      <c r="A117" s="22" t="s">
        <v>241</v>
      </c>
      <c r="B117" s="23">
        <v>1.575E-6</v>
      </c>
      <c r="C117" s="22" t="s">
        <v>14</v>
      </c>
      <c r="D117" s="22"/>
      <c r="E117" s="22"/>
      <c r="F117" s="22"/>
    </row>
    <row r="118" spans="1:6">
      <c r="A118" s="22" t="s">
        <v>242</v>
      </c>
      <c r="B118" s="23">
        <v>1.425E-8</v>
      </c>
      <c r="C118" s="22" t="s">
        <v>14</v>
      </c>
      <c r="D118" s="22"/>
      <c r="E118" s="22"/>
      <c r="F118" s="22"/>
    </row>
    <row r="119" spans="1:6">
      <c r="A119" s="22" t="s">
        <v>243</v>
      </c>
      <c r="B119" s="23">
        <v>5.5249999999999996E-6</v>
      </c>
      <c r="C119" s="22" t="s">
        <v>14</v>
      </c>
      <c r="D119" s="22"/>
      <c r="E119" s="22"/>
      <c r="F119" s="22"/>
    </row>
    <row r="120" spans="1:6">
      <c r="A120" s="22" t="s">
        <v>244</v>
      </c>
      <c r="B120" s="23">
        <v>4.7375E-6</v>
      </c>
      <c r="C120" s="22" t="s">
        <v>14</v>
      </c>
      <c r="D120" s="22"/>
      <c r="E120" s="22"/>
      <c r="F120" s="22"/>
    </row>
    <row r="121" spans="1:6">
      <c r="A121" s="22" t="s">
        <v>245</v>
      </c>
      <c r="B121" s="23">
        <v>2.7625000000000001E-8</v>
      </c>
      <c r="C121" s="22" t="s">
        <v>14</v>
      </c>
      <c r="D121" s="22"/>
      <c r="E121" s="22"/>
      <c r="F121" s="22"/>
    </row>
    <row r="122" spans="1:6">
      <c r="A122" s="22" t="s">
        <v>95</v>
      </c>
      <c r="B122" s="23">
        <v>1.2500000000000001E-5</v>
      </c>
      <c r="C122" s="22" t="s">
        <v>14</v>
      </c>
      <c r="D122" s="22"/>
      <c r="E122" s="22"/>
      <c r="F122" s="22"/>
    </row>
    <row r="123" spans="1:6">
      <c r="A123" s="22" t="s">
        <v>246</v>
      </c>
      <c r="B123" s="23">
        <v>5.9250000000000001E-9</v>
      </c>
      <c r="C123" s="22" t="s">
        <v>14</v>
      </c>
      <c r="D123" s="22"/>
      <c r="E123" s="22"/>
      <c r="F123" s="22"/>
    </row>
    <row r="124" spans="1:6">
      <c r="A124" s="22" t="s">
        <v>247</v>
      </c>
      <c r="B124" s="23">
        <v>2.3750000000000001E-8</v>
      </c>
      <c r="C124" s="22" t="s">
        <v>14</v>
      </c>
      <c r="D124" s="22"/>
      <c r="E124" s="22"/>
      <c r="F124" s="22"/>
    </row>
    <row r="125" spans="1:6">
      <c r="A125" s="22" t="s">
        <v>139</v>
      </c>
      <c r="B125" s="23">
        <v>2.5000000000000001E-4</v>
      </c>
      <c r="C125" s="22" t="s">
        <v>14</v>
      </c>
      <c r="D125" s="22"/>
      <c r="E125" s="22"/>
      <c r="F125" s="22"/>
    </row>
    <row r="126" spans="1:6">
      <c r="A126" s="22" t="s">
        <v>141</v>
      </c>
      <c r="B126" s="23">
        <v>2.5000000000000001E-5</v>
      </c>
      <c r="C126" s="22" t="s">
        <v>14</v>
      </c>
      <c r="D126" s="22"/>
      <c r="E126" s="22"/>
      <c r="F126" s="22"/>
    </row>
    <row r="127" spans="1:6">
      <c r="A127" s="22" t="s">
        <v>248</v>
      </c>
      <c r="B127" s="23">
        <v>1.2500000000000001E-5</v>
      </c>
      <c r="C127" s="22" t="s">
        <v>14</v>
      </c>
      <c r="D127" s="22"/>
      <c r="E127" s="22"/>
      <c r="F127" s="22"/>
    </row>
    <row r="128" spans="1:6">
      <c r="A128" s="22" t="s">
        <v>249</v>
      </c>
      <c r="B128" s="23">
        <v>2.5000000000000001E-5</v>
      </c>
      <c r="C128" s="22" t="s">
        <v>14</v>
      </c>
      <c r="D128" s="22"/>
      <c r="E128" s="22"/>
      <c r="F128" s="22"/>
    </row>
    <row r="129" spans="1:6">
      <c r="A129" s="22" t="s">
        <v>250</v>
      </c>
      <c r="B129" s="23">
        <v>7.9000000000000006E-8</v>
      </c>
      <c r="C129" s="22" t="s">
        <v>14</v>
      </c>
      <c r="D129" s="22"/>
      <c r="E129" s="22"/>
      <c r="F129" s="22"/>
    </row>
    <row r="130" spans="1:6">
      <c r="A130" s="22" t="s">
        <v>251</v>
      </c>
      <c r="B130" s="23">
        <v>1.575E-6</v>
      </c>
      <c r="C130" s="22" t="s">
        <v>14</v>
      </c>
      <c r="D130" s="22"/>
      <c r="E130" s="22"/>
      <c r="F130" s="22"/>
    </row>
    <row r="131" spans="1:6">
      <c r="A131" s="22" t="s">
        <v>252</v>
      </c>
      <c r="B131" s="23">
        <v>1.6875E-5</v>
      </c>
      <c r="C131" s="22" t="s">
        <v>253</v>
      </c>
      <c r="D131" s="22"/>
      <c r="E131" s="22"/>
      <c r="F131" s="22"/>
    </row>
    <row r="132" spans="1:6">
      <c r="A132" s="22" t="s">
        <v>254</v>
      </c>
      <c r="B132" s="23">
        <v>1.575E-9</v>
      </c>
      <c r="C132" s="22" t="s">
        <v>14</v>
      </c>
      <c r="D132" s="22"/>
      <c r="E132" s="22"/>
      <c r="F132" s="22"/>
    </row>
    <row r="133" spans="1:6">
      <c r="A133" s="22" t="s">
        <v>255</v>
      </c>
      <c r="B133" s="23">
        <v>1.185E-8</v>
      </c>
      <c r="C133" s="22" t="s">
        <v>14</v>
      </c>
      <c r="D133" s="22"/>
      <c r="E133" s="22"/>
      <c r="F133" s="22"/>
    </row>
    <row r="134" spans="1:6">
      <c r="A134" s="22" t="s">
        <v>256</v>
      </c>
      <c r="B134" s="23">
        <v>1.9749999999999999E-5</v>
      </c>
      <c r="C134" s="22" t="s">
        <v>14</v>
      </c>
      <c r="D134" s="22"/>
      <c r="E134" s="22"/>
      <c r="F134" s="22"/>
    </row>
    <row r="135" spans="1:6">
      <c r="A135" s="22" t="s">
        <v>257</v>
      </c>
      <c r="B135" s="23">
        <v>7.8999999999999995E-7</v>
      </c>
      <c r="C135" s="22" t="s">
        <v>14</v>
      </c>
      <c r="D135" s="22"/>
      <c r="E135" s="22"/>
      <c r="F135" s="22"/>
    </row>
    <row r="136" spans="1:6">
      <c r="A136" s="22" t="s">
        <v>258</v>
      </c>
      <c r="B136" s="23">
        <v>2.375E-7</v>
      </c>
      <c r="C136" s="22" t="s">
        <v>14</v>
      </c>
      <c r="D136" s="22"/>
      <c r="E136" s="22"/>
      <c r="F136" s="22"/>
    </row>
    <row r="137" spans="1:6">
      <c r="A137" s="38" t="s">
        <v>120</v>
      </c>
      <c r="B137" s="51">
        <v>4.0816326530612245E-5</v>
      </c>
      <c r="C137" s="38" t="s">
        <v>14</v>
      </c>
      <c r="D137" s="22"/>
      <c r="E137" s="22"/>
      <c r="F137" s="22"/>
    </row>
    <row r="138" spans="1:6">
      <c r="A138" s="22" t="s">
        <v>259</v>
      </c>
      <c r="B138" s="23">
        <v>1.9749999999999999E-9</v>
      </c>
      <c r="C138" s="22" t="s">
        <v>14</v>
      </c>
      <c r="D138" s="22"/>
      <c r="E138" s="22"/>
      <c r="F138" s="22"/>
    </row>
    <row r="139" spans="1:6">
      <c r="A139" s="22" t="s">
        <v>260</v>
      </c>
      <c r="B139" s="23">
        <v>7.8999999999999996E-10</v>
      </c>
      <c r="C139" s="22" t="s">
        <v>14</v>
      </c>
      <c r="D139" s="22"/>
      <c r="E139" s="22"/>
      <c r="F139" s="22"/>
    </row>
    <row r="140" spans="1:6">
      <c r="A140" s="22" t="s">
        <v>261</v>
      </c>
      <c r="B140" s="23">
        <v>4.7375000000000002E-7</v>
      </c>
      <c r="C140" s="22" t="s">
        <v>14</v>
      </c>
      <c r="D140" s="22"/>
      <c r="E140" s="22"/>
      <c r="F140" s="22"/>
    </row>
    <row r="141" spans="1:6">
      <c r="A141" s="22" t="s">
        <v>262</v>
      </c>
      <c r="B141" s="23">
        <v>4.7374999999999999E-8</v>
      </c>
      <c r="C141" s="22" t="s">
        <v>14</v>
      </c>
      <c r="D141" s="22"/>
      <c r="E141" s="22"/>
      <c r="F141" s="22"/>
    </row>
    <row r="142" spans="1:6">
      <c r="A142" s="22" t="s">
        <v>263</v>
      </c>
      <c r="B142" s="23">
        <v>1.125E-6</v>
      </c>
      <c r="C142" s="22" t="s">
        <v>23</v>
      </c>
      <c r="D142" s="22"/>
      <c r="E142" s="22"/>
      <c r="F142" s="22"/>
    </row>
    <row r="143" spans="1:6">
      <c r="A143" s="22" t="s">
        <v>263</v>
      </c>
      <c r="B143" s="23">
        <v>6.3749999999999999E-6</v>
      </c>
      <c r="C143" s="22" t="s">
        <v>23</v>
      </c>
      <c r="D143" s="22"/>
      <c r="E143" s="22"/>
      <c r="F143" s="22"/>
    </row>
    <row r="144" spans="1:6">
      <c r="A144" s="22" t="s">
        <v>264</v>
      </c>
      <c r="B144" s="23">
        <v>3.9499999999999998E-9</v>
      </c>
      <c r="C144" s="22" t="s">
        <v>14</v>
      </c>
      <c r="D144" s="22"/>
      <c r="E144" s="22"/>
      <c r="F144" s="22"/>
    </row>
    <row r="145" spans="1:6">
      <c r="A145" s="22" t="s">
        <v>265</v>
      </c>
      <c r="B145" s="23">
        <v>2.1500000000000002E-6</v>
      </c>
      <c r="C145" s="22" t="s">
        <v>14</v>
      </c>
      <c r="D145" s="22"/>
      <c r="E145" s="22"/>
      <c r="F145" s="22"/>
    </row>
    <row r="146" spans="1:6">
      <c r="A146" s="22" t="s">
        <v>266</v>
      </c>
      <c r="B146" s="23">
        <v>1.875E-6</v>
      </c>
      <c r="C146" s="22" t="s">
        <v>14</v>
      </c>
      <c r="D146" s="22"/>
      <c r="E146" s="22"/>
      <c r="F146" s="22"/>
    </row>
    <row r="147" spans="1:6">
      <c r="A147" s="22" t="s">
        <v>267</v>
      </c>
      <c r="B147" s="23">
        <v>3.7500000000000001E-6</v>
      </c>
      <c r="C147" s="22" t="s">
        <v>14</v>
      </c>
      <c r="D147" s="22"/>
      <c r="E147" s="22"/>
      <c r="F147" s="22"/>
    </row>
    <row r="148" spans="1:6">
      <c r="A148" s="22" t="s">
        <v>143</v>
      </c>
      <c r="B148" s="23">
        <v>1.2500000000000001E-6</v>
      </c>
      <c r="C148" s="22" t="s">
        <v>14</v>
      </c>
      <c r="D148" s="22"/>
      <c r="E148" s="22"/>
      <c r="F148" s="22"/>
    </row>
    <row r="149" spans="1:6">
      <c r="A149" s="22" t="s">
        <v>268</v>
      </c>
      <c r="B149" s="23">
        <v>6.2500000000000005E-7</v>
      </c>
      <c r="C149" s="22" t="s">
        <v>14</v>
      </c>
      <c r="D149" s="22"/>
      <c r="E149" s="22"/>
      <c r="F149" s="22"/>
    </row>
    <row r="150" spans="1:6">
      <c r="B150" s="3"/>
    </row>
    <row r="151" spans="1:6" ht="15">
      <c r="A151" s="15" t="s">
        <v>269</v>
      </c>
      <c r="B151" s="16"/>
      <c r="C151" s="16"/>
      <c r="D151" s="16"/>
      <c r="E151" s="16"/>
      <c r="F151" s="16"/>
    </row>
    <row r="152" spans="1:6" ht="15">
      <c r="A152" s="15" t="s">
        <v>44</v>
      </c>
      <c r="B152" s="16"/>
      <c r="C152" s="16"/>
      <c r="D152" s="16"/>
      <c r="E152" s="16"/>
      <c r="F152" s="16"/>
    </row>
    <row r="153" spans="1:6">
      <c r="A153" s="16" t="s">
        <v>85</v>
      </c>
      <c r="B153" s="16">
        <v>5.2249999999999996E-3</v>
      </c>
      <c r="C153" s="16" t="s">
        <v>86</v>
      </c>
      <c r="D153" s="16"/>
      <c r="E153" s="16"/>
      <c r="F153" s="16" t="s">
        <v>68</v>
      </c>
    </row>
    <row r="154" spans="1:6">
      <c r="A154" s="16" t="s">
        <v>270</v>
      </c>
      <c r="B154" s="16">
        <v>4.3249999999999997E-2</v>
      </c>
      <c r="C154" s="16" t="s">
        <v>14</v>
      </c>
      <c r="D154" s="16"/>
      <c r="E154" s="16"/>
      <c r="F154" s="16" t="s">
        <v>271</v>
      </c>
    </row>
    <row r="155" spans="1:6">
      <c r="A155" s="16" t="s">
        <v>216</v>
      </c>
      <c r="B155" s="17">
        <v>6.9499999999999998E-10</v>
      </c>
      <c r="C155" s="16" t="s">
        <v>46</v>
      </c>
      <c r="D155" s="16"/>
      <c r="E155" s="16"/>
      <c r="F155" s="16" t="s">
        <v>217</v>
      </c>
    </row>
    <row r="156" spans="1:6">
      <c r="A156" s="16" t="s">
        <v>214</v>
      </c>
      <c r="B156" s="16">
        <v>9.3749999999999997E-3</v>
      </c>
      <c r="C156" s="16" t="s">
        <v>14</v>
      </c>
      <c r="D156" s="16"/>
      <c r="E156" s="16"/>
      <c r="F156" s="16" t="s">
        <v>215</v>
      </c>
    </row>
    <row r="157" spans="1:6">
      <c r="A157" s="16"/>
      <c r="B157" s="16"/>
      <c r="C157" s="16"/>
      <c r="D157" s="16"/>
      <c r="E157" s="16"/>
      <c r="F157" s="16"/>
    </row>
    <row r="158" spans="1:6" ht="15">
      <c r="A158" s="15" t="s">
        <v>61</v>
      </c>
      <c r="B158" s="16"/>
      <c r="C158" s="16"/>
      <c r="D158" s="16"/>
      <c r="E158" s="16"/>
      <c r="F158" s="16"/>
    </row>
    <row r="159" spans="1:6">
      <c r="A159" s="16" t="s">
        <v>219</v>
      </c>
      <c r="B159" s="16">
        <v>1</v>
      </c>
      <c r="C159" s="16" t="s">
        <v>50</v>
      </c>
      <c r="D159" s="16"/>
      <c r="E159" s="16"/>
      <c r="F159" s="16"/>
    </row>
    <row r="160" spans="1:6">
      <c r="A160" s="16" t="s">
        <v>221</v>
      </c>
      <c r="B160" s="16">
        <v>3.6250000000000002E-3</v>
      </c>
      <c r="C160" s="16" t="s">
        <v>14</v>
      </c>
      <c r="D160" s="16"/>
      <c r="E160" s="16"/>
      <c r="F160" s="16" t="s">
        <v>223</v>
      </c>
    </row>
    <row r="161" spans="1:6">
      <c r="A161" s="16" t="s">
        <v>224</v>
      </c>
      <c r="B161" s="17">
        <v>6.2500000000000005E-7</v>
      </c>
      <c r="C161" s="16" t="s">
        <v>14</v>
      </c>
      <c r="D161" s="16"/>
      <c r="E161" s="16"/>
      <c r="F161" s="16"/>
    </row>
    <row r="162" spans="1:6">
      <c r="A162" s="16" t="s">
        <v>226</v>
      </c>
      <c r="B162" s="17">
        <v>1.3375E-5</v>
      </c>
      <c r="C162" s="16" t="s">
        <v>14</v>
      </c>
      <c r="D162" s="16"/>
      <c r="E162" s="16"/>
      <c r="F162" s="16"/>
    </row>
    <row r="163" spans="1:6">
      <c r="A163" s="16" t="s">
        <v>227</v>
      </c>
      <c r="B163" s="17">
        <v>1.9749999999999999E-9</v>
      </c>
      <c r="C163" s="16" t="s">
        <v>14</v>
      </c>
      <c r="D163" s="16"/>
      <c r="E163" s="16"/>
      <c r="F163" s="16"/>
    </row>
    <row r="164" spans="1:6">
      <c r="A164" s="16" t="s">
        <v>272</v>
      </c>
      <c r="B164" s="17">
        <v>3.1625E-8</v>
      </c>
      <c r="C164" s="16" t="s">
        <v>14</v>
      </c>
      <c r="D164" s="16"/>
      <c r="E164" s="16"/>
      <c r="F164" s="16"/>
    </row>
    <row r="165" spans="1:6">
      <c r="A165" s="16" t="s">
        <v>228</v>
      </c>
      <c r="B165" s="17">
        <v>1.575E-7</v>
      </c>
      <c r="C165" s="16" t="s">
        <v>14</v>
      </c>
      <c r="D165" s="16"/>
      <c r="E165" s="16"/>
      <c r="F165" s="16"/>
    </row>
    <row r="166" spans="1:6">
      <c r="A166" s="16" t="s">
        <v>130</v>
      </c>
      <c r="B166" s="17">
        <v>6.2500000000000005E-7</v>
      </c>
      <c r="C166" s="16" t="s">
        <v>14</v>
      </c>
      <c r="D166" s="16"/>
      <c r="E166" s="16"/>
      <c r="F166" s="16"/>
    </row>
    <row r="167" spans="1:6">
      <c r="A167" s="16" t="s">
        <v>131</v>
      </c>
      <c r="B167" s="17">
        <v>1.25E-11</v>
      </c>
      <c r="C167" s="16" t="s">
        <v>14</v>
      </c>
      <c r="D167" s="16"/>
      <c r="E167" s="16"/>
      <c r="F167" s="16"/>
    </row>
    <row r="168" spans="1:6">
      <c r="A168" s="16" t="s">
        <v>229</v>
      </c>
      <c r="B168" s="17">
        <v>1.575E-9</v>
      </c>
      <c r="C168" s="16" t="s">
        <v>14</v>
      </c>
      <c r="D168" s="16"/>
      <c r="E168" s="16"/>
      <c r="F168" s="16"/>
    </row>
    <row r="169" spans="1:6">
      <c r="A169" s="16" t="s">
        <v>230</v>
      </c>
      <c r="B169" s="17">
        <v>5.9250000000000004E-7</v>
      </c>
      <c r="C169" s="16" t="s">
        <v>14</v>
      </c>
      <c r="D169" s="16"/>
      <c r="E169" s="16"/>
      <c r="F169" s="16"/>
    </row>
    <row r="170" spans="1:6">
      <c r="A170" s="16" t="s">
        <v>231</v>
      </c>
      <c r="B170" s="17">
        <v>1.185E-8</v>
      </c>
      <c r="C170" s="16" t="s">
        <v>14</v>
      </c>
      <c r="D170" s="16"/>
      <c r="E170" s="16"/>
      <c r="F170" s="16"/>
    </row>
    <row r="171" spans="1:6">
      <c r="A171" s="16" t="s">
        <v>232</v>
      </c>
      <c r="B171" s="17">
        <v>1.9749999999999999E-9</v>
      </c>
      <c r="C171" s="16" t="s">
        <v>14</v>
      </c>
      <c r="D171" s="16"/>
      <c r="E171" s="16"/>
      <c r="F171" s="16"/>
    </row>
    <row r="172" spans="1:6">
      <c r="A172" s="16" t="s">
        <v>233</v>
      </c>
      <c r="B172" s="17">
        <v>1.575E-6</v>
      </c>
      <c r="C172" s="16" t="s">
        <v>14</v>
      </c>
      <c r="D172" s="16"/>
      <c r="E172" s="16"/>
      <c r="F172" s="16"/>
    </row>
    <row r="173" spans="1:6">
      <c r="A173" s="16" t="s">
        <v>153</v>
      </c>
      <c r="B173" s="16">
        <v>0.114375</v>
      </c>
      <c r="C173" s="16" t="s">
        <v>14</v>
      </c>
      <c r="D173" s="16"/>
      <c r="E173" s="16"/>
      <c r="F173" s="16"/>
    </row>
    <row r="174" spans="1:6">
      <c r="A174" s="16" t="s">
        <v>154</v>
      </c>
      <c r="B174" s="17">
        <v>1.25E-4</v>
      </c>
      <c r="C174" s="16" t="s">
        <v>14</v>
      </c>
      <c r="D174" s="16"/>
      <c r="E174" s="16"/>
      <c r="F174" s="16"/>
    </row>
    <row r="175" spans="1:6">
      <c r="A175" s="16" t="s">
        <v>234</v>
      </c>
      <c r="B175" s="17">
        <v>2.8124999999999999E-8</v>
      </c>
      <c r="C175" s="16" t="s">
        <v>14</v>
      </c>
      <c r="D175" s="16"/>
      <c r="E175" s="16"/>
      <c r="F175" s="16"/>
    </row>
    <row r="176" spans="1:6">
      <c r="A176" s="16" t="s">
        <v>235</v>
      </c>
      <c r="B176" s="17">
        <v>3.4750000000000001E-9</v>
      </c>
      <c r="C176" s="16" t="s">
        <v>14</v>
      </c>
      <c r="D176" s="16"/>
      <c r="E176" s="16"/>
      <c r="F176" s="16"/>
    </row>
    <row r="177" spans="1:6">
      <c r="A177" s="16" t="s">
        <v>236</v>
      </c>
      <c r="B177" s="17">
        <v>3.9499999999999998E-9</v>
      </c>
      <c r="C177" s="16" t="s">
        <v>14</v>
      </c>
      <c r="D177" s="16"/>
      <c r="E177" s="16"/>
      <c r="F177" s="16"/>
    </row>
    <row r="178" spans="1:6">
      <c r="A178" s="16" t="s">
        <v>237</v>
      </c>
      <c r="B178" s="17">
        <v>2.0750000000000001E-8</v>
      </c>
      <c r="C178" s="16" t="s">
        <v>14</v>
      </c>
      <c r="D178" s="16"/>
      <c r="E178" s="16"/>
      <c r="F178" s="16"/>
    </row>
    <row r="179" spans="1:6">
      <c r="A179" s="16" t="s">
        <v>93</v>
      </c>
      <c r="B179" s="17">
        <v>1.2500000000000001E-6</v>
      </c>
      <c r="C179" s="16" t="s">
        <v>14</v>
      </c>
      <c r="D179" s="16"/>
      <c r="E179" s="16"/>
      <c r="F179" s="16"/>
    </row>
    <row r="180" spans="1:6">
      <c r="A180" s="16" t="s">
        <v>134</v>
      </c>
      <c r="B180" s="17">
        <v>2.5000000000000001E-14</v>
      </c>
      <c r="C180" s="16" t="s">
        <v>14</v>
      </c>
      <c r="D180" s="16"/>
      <c r="E180" s="16"/>
      <c r="F180" s="16"/>
    </row>
    <row r="181" spans="1:6">
      <c r="A181" s="16" t="s">
        <v>266</v>
      </c>
      <c r="B181" s="17">
        <v>1.875E-6</v>
      </c>
      <c r="C181" s="16" t="s">
        <v>14</v>
      </c>
      <c r="D181" s="16"/>
      <c r="E181" s="16"/>
      <c r="F181" s="16"/>
    </row>
    <row r="182" spans="1:6">
      <c r="A182" s="16" t="s">
        <v>267</v>
      </c>
      <c r="B182" s="17">
        <v>3.7500000000000001E-6</v>
      </c>
      <c r="C182" s="16" t="s">
        <v>14</v>
      </c>
      <c r="D182" s="16"/>
      <c r="E182" s="16"/>
      <c r="F182" s="16"/>
    </row>
    <row r="183" spans="1:6">
      <c r="A183" s="16" t="s">
        <v>135</v>
      </c>
      <c r="B183" s="17">
        <v>9.9999999999999995E-8</v>
      </c>
      <c r="C183" s="16" t="s">
        <v>14</v>
      </c>
      <c r="D183" s="16"/>
      <c r="E183" s="16"/>
      <c r="F183" s="16"/>
    </row>
    <row r="184" spans="1:6">
      <c r="A184" s="16" t="s">
        <v>238</v>
      </c>
      <c r="B184" s="17">
        <v>6.2500000000000005E-7</v>
      </c>
      <c r="C184" s="16" t="s">
        <v>14</v>
      </c>
      <c r="D184" s="16"/>
      <c r="E184" s="16"/>
      <c r="F184" s="16"/>
    </row>
    <row r="185" spans="1:6">
      <c r="A185" s="16" t="s">
        <v>239</v>
      </c>
      <c r="B185" s="17">
        <v>6.2500000000000005E-7</v>
      </c>
      <c r="C185" s="16" t="s">
        <v>14</v>
      </c>
      <c r="D185" s="16"/>
      <c r="E185" s="16"/>
      <c r="F185" s="16"/>
    </row>
    <row r="186" spans="1:6">
      <c r="A186" s="16" t="s">
        <v>240</v>
      </c>
      <c r="B186" s="17">
        <v>5.0624999999999997E-5</v>
      </c>
      <c r="C186" s="16" t="s">
        <v>14</v>
      </c>
      <c r="D186" s="16"/>
      <c r="E186" s="16"/>
      <c r="F186" s="16"/>
    </row>
    <row r="187" spans="1:6">
      <c r="A187" s="16" t="s">
        <v>241</v>
      </c>
      <c r="B187" s="17">
        <v>1.575E-6</v>
      </c>
      <c r="C187" s="16" t="s">
        <v>14</v>
      </c>
      <c r="D187" s="16"/>
      <c r="E187" s="16"/>
      <c r="F187" s="16"/>
    </row>
    <row r="188" spans="1:6">
      <c r="A188" s="16" t="s">
        <v>242</v>
      </c>
      <c r="B188" s="17">
        <v>1.425E-8</v>
      </c>
      <c r="C188" s="16" t="s">
        <v>14</v>
      </c>
      <c r="D188" s="16"/>
      <c r="E188" s="16"/>
      <c r="F188" s="16"/>
    </row>
    <row r="189" spans="1:6">
      <c r="A189" s="16" t="s">
        <v>243</v>
      </c>
      <c r="B189" s="17">
        <v>5.5249999999999996E-6</v>
      </c>
      <c r="C189" s="16" t="s">
        <v>14</v>
      </c>
      <c r="D189" s="16"/>
      <c r="E189" s="16"/>
      <c r="F189" s="16"/>
    </row>
    <row r="190" spans="1:6">
      <c r="A190" s="16" t="s">
        <v>273</v>
      </c>
      <c r="B190" s="17">
        <v>9.4749999999999998E-8</v>
      </c>
      <c r="C190" s="16" t="s">
        <v>14</v>
      </c>
      <c r="D190" s="16"/>
      <c r="E190" s="16"/>
      <c r="F190" s="16"/>
    </row>
    <row r="191" spans="1:6">
      <c r="A191" s="16" t="s">
        <v>274</v>
      </c>
      <c r="B191" s="17">
        <v>5.8125000000000003E-5</v>
      </c>
      <c r="C191" s="16" t="s">
        <v>253</v>
      </c>
      <c r="D191" s="16"/>
      <c r="E191" s="16"/>
      <c r="F191" s="16"/>
    </row>
    <row r="192" spans="1:6">
      <c r="A192" s="16" t="s">
        <v>244</v>
      </c>
      <c r="B192" s="17">
        <v>4.7375E-6</v>
      </c>
      <c r="C192" s="16" t="s">
        <v>14</v>
      </c>
      <c r="D192" s="16"/>
      <c r="E192" s="16"/>
      <c r="F192" s="16"/>
    </row>
    <row r="193" spans="1:6">
      <c r="A193" s="16" t="s">
        <v>245</v>
      </c>
      <c r="B193" s="17">
        <v>2.7625000000000001E-8</v>
      </c>
      <c r="C193" s="16" t="s">
        <v>14</v>
      </c>
      <c r="D193" s="16"/>
      <c r="E193" s="16"/>
      <c r="F193" s="16"/>
    </row>
    <row r="194" spans="1:6">
      <c r="A194" s="16" t="s">
        <v>136</v>
      </c>
      <c r="B194" s="17">
        <v>3.5499999999999999E-9</v>
      </c>
      <c r="C194" s="16" t="s">
        <v>14</v>
      </c>
      <c r="D194" s="16"/>
      <c r="E194" s="16"/>
      <c r="F194" s="16"/>
    </row>
    <row r="195" spans="1:6">
      <c r="A195" s="16" t="s">
        <v>155</v>
      </c>
      <c r="B195" s="17">
        <v>1.2500000000000001E-5</v>
      </c>
      <c r="C195" s="16" t="s">
        <v>14</v>
      </c>
      <c r="D195" s="16"/>
      <c r="E195" s="16"/>
      <c r="F195" s="16"/>
    </row>
    <row r="196" spans="1:6">
      <c r="A196" s="16" t="s">
        <v>246</v>
      </c>
      <c r="B196" s="17">
        <v>5.9250000000000001E-9</v>
      </c>
      <c r="C196" s="16" t="s">
        <v>14</v>
      </c>
      <c r="D196" s="16"/>
      <c r="E196" s="16"/>
      <c r="F196" s="16"/>
    </row>
    <row r="197" spans="1:6">
      <c r="A197" s="16" t="s">
        <v>247</v>
      </c>
      <c r="B197" s="17">
        <v>2.3750000000000001E-8</v>
      </c>
      <c r="C197" s="16" t="s">
        <v>14</v>
      </c>
      <c r="D197" s="16"/>
      <c r="E197" s="16"/>
      <c r="F197" s="16"/>
    </row>
    <row r="198" spans="1:6">
      <c r="A198" s="16" t="s">
        <v>139</v>
      </c>
      <c r="B198" s="17">
        <v>2.5000000000000001E-4</v>
      </c>
      <c r="C198" s="16" t="s">
        <v>14</v>
      </c>
      <c r="D198" s="16"/>
      <c r="E198" s="16"/>
      <c r="F198" s="16"/>
    </row>
    <row r="199" spans="1:6">
      <c r="A199" s="16" t="s">
        <v>265</v>
      </c>
      <c r="B199" s="17">
        <v>2.1500000000000002E-6</v>
      </c>
      <c r="C199" s="16" t="s">
        <v>14</v>
      </c>
      <c r="D199" s="16"/>
      <c r="E199" s="16"/>
      <c r="F199" s="16"/>
    </row>
    <row r="200" spans="1:6">
      <c r="A200" s="16" t="s">
        <v>141</v>
      </c>
      <c r="B200" s="17">
        <v>2.5000000000000001E-5</v>
      </c>
      <c r="C200" s="16" t="s">
        <v>14</v>
      </c>
      <c r="D200" s="16"/>
      <c r="E200" s="16"/>
      <c r="F200" s="16"/>
    </row>
    <row r="201" spans="1:6">
      <c r="A201" s="16" t="s">
        <v>248</v>
      </c>
      <c r="B201" s="17">
        <v>1.2500000000000001E-5</v>
      </c>
      <c r="C201" s="16" t="s">
        <v>14</v>
      </c>
      <c r="D201" s="16"/>
      <c r="E201" s="16"/>
      <c r="F201" s="16"/>
    </row>
    <row r="202" spans="1:6">
      <c r="A202" s="16" t="s">
        <v>249</v>
      </c>
      <c r="B202" s="17">
        <v>2.5000000000000001E-5</v>
      </c>
      <c r="C202" s="16" t="s">
        <v>14</v>
      </c>
      <c r="D202" s="16"/>
      <c r="E202" s="16"/>
      <c r="F202" s="16"/>
    </row>
    <row r="203" spans="1:6">
      <c r="A203" s="16" t="s">
        <v>250</v>
      </c>
      <c r="B203" s="17">
        <v>7.9000000000000006E-8</v>
      </c>
      <c r="C203" s="16" t="s">
        <v>14</v>
      </c>
      <c r="D203" s="16"/>
      <c r="E203" s="16"/>
      <c r="F203" s="16"/>
    </row>
    <row r="204" spans="1:6">
      <c r="A204" s="16" t="s">
        <v>275</v>
      </c>
      <c r="B204" s="17">
        <v>1.0624999999999999E-4</v>
      </c>
      <c r="C204" s="16" t="s">
        <v>253</v>
      </c>
      <c r="D204" s="16"/>
      <c r="E204" s="16"/>
      <c r="F204" s="16"/>
    </row>
    <row r="205" spans="1:6">
      <c r="A205" s="16" t="s">
        <v>251</v>
      </c>
      <c r="B205" s="17">
        <v>1.575E-6</v>
      </c>
      <c r="C205" s="16" t="s">
        <v>14</v>
      </c>
      <c r="D205" s="16"/>
      <c r="E205" s="16"/>
      <c r="F205" s="16"/>
    </row>
    <row r="206" spans="1:6">
      <c r="A206" s="16" t="s">
        <v>252</v>
      </c>
      <c r="B206" s="17">
        <v>1.6875E-5</v>
      </c>
      <c r="C206" s="16" t="s">
        <v>253</v>
      </c>
      <c r="D206" s="16"/>
      <c r="E206" s="16"/>
      <c r="F206" s="16"/>
    </row>
    <row r="207" spans="1:6">
      <c r="A207" s="16" t="s">
        <v>143</v>
      </c>
      <c r="B207" s="17">
        <v>1.2500000000000001E-6</v>
      </c>
      <c r="C207" s="16" t="s">
        <v>14</v>
      </c>
      <c r="D207" s="16"/>
      <c r="E207" s="16"/>
      <c r="F207" s="16"/>
    </row>
    <row r="208" spans="1:6">
      <c r="A208" s="16" t="s">
        <v>268</v>
      </c>
      <c r="B208" s="17">
        <v>6.2500000000000005E-7</v>
      </c>
      <c r="C208" s="16" t="s">
        <v>14</v>
      </c>
      <c r="D208" s="16"/>
      <c r="E208" s="16"/>
      <c r="F208" s="16"/>
    </row>
    <row r="209" spans="1:6">
      <c r="A209" s="16" t="s">
        <v>276</v>
      </c>
      <c r="B209" s="17">
        <v>1.5E-5</v>
      </c>
      <c r="C209" s="16" t="s">
        <v>253</v>
      </c>
      <c r="D209" s="16"/>
      <c r="E209" s="16"/>
      <c r="F209" s="16"/>
    </row>
    <row r="210" spans="1:6">
      <c r="A210" s="16" t="s">
        <v>277</v>
      </c>
      <c r="B210" s="17">
        <v>8.1249999999999996E-5</v>
      </c>
      <c r="C210" s="16" t="s">
        <v>253</v>
      </c>
      <c r="D210" s="16"/>
      <c r="E210" s="16"/>
      <c r="F210" s="16"/>
    </row>
    <row r="211" spans="1:6">
      <c r="A211" s="16" t="s">
        <v>278</v>
      </c>
      <c r="B211" s="17">
        <v>1.2500000000000001E-6</v>
      </c>
      <c r="C211" s="16" t="s">
        <v>253</v>
      </c>
      <c r="D211" s="16"/>
      <c r="E211" s="16"/>
      <c r="F211" s="16"/>
    </row>
    <row r="212" spans="1:6">
      <c r="A212" s="16" t="s">
        <v>279</v>
      </c>
      <c r="B212" s="17">
        <v>1.2500000000000001E-6</v>
      </c>
      <c r="C212" s="16" t="s">
        <v>253</v>
      </c>
      <c r="D212" s="16"/>
      <c r="E212" s="16"/>
      <c r="F212" s="16"/>
    </row>
    <row r="213" spans="1:6">
      <c r="A213" s="16" t="s">
        <v>254</v>
      </c>
      <c r="B213" s="17">
        <v>1.575E-9</v>
      </c>
      <c r="C213" s="16" t="s">
        <v>14</v>
      </c>
      <c r="D213" s="16"/>
      <c r="E213" s="16"/>
      <c r="F213" s="16"/>
    </row>
    <row r="214" spans="1:6">
      <c r="A214" s="16" t="s">
        <v>255</v>
      </c>
      <c r="B214" s="17">
        <v>1.185E-8</v>
      </c>
      <c r="C214" s="16" t="s">
        <v>14</v>
      </c>
      <c r="D214" s="16"/>
      <c r="E214" s="16"/>
      <c r="F214" s="16"/>
    </row>
    <row r="215" spans="1:6">
      <c r="A215" s="16" t="s">
        <v>256</v>
      </c>
      <c r="B215" s="17">
        <v>1.9749999999999999E-5</v>
      </c>
      <c r="C215" s="16" t="s">
        <v>14</v>
      </c>
      <c r="D215" s="16"/>
      <c r="E215" s="16"/>
      <c r="F215" s="16"/>
    </row>
    <row r="216" spans="1:6">
      <c r="A216" s="16" t="s">
        <v>257</v>
      </c>
      <c r="B216" s="17">
        <v>7.8999999999999995E-7</v>
      </c>
      <c r="C216" s="16" t="s">
        <v>14</v>
      </c>
      <c r="D216" s="16"/>
      <c r="E216" s="16"/>
      <c r="F216" s="16"/>
    </row>
    <row r="217" spans="1:6">
      <c r="A217" s="16" t="s">
        <v>258</v>
      </c>
      <c r="B217" s="17">
        <v>2.375E-7</v>
      </c>
      <c r="C217" s="16" t="s">
        <v>14</v>
      </c>
      <c r="D217" s="16"/>
      <c r="E217" s="16"/>
      <c r="F217" s="16"/>
    </row>
    <row r="218" spans="1:6">
      <c r="A218" s="16" t="s">
        <v>120</v>
      </c>
      <c r="B218" s="17">
        <v>6.2500000000000001E-4</v>
      </c>
      <c r="C218" s="16" t="s">
        <v>14</v>
      </c>
      <c r="D218" s="16"/>
      <c r="E218" s="16"/>
      <c r="F218" s="16"/>
    </row>
    <row r="219" spans="1:6">
      <c r="A219" s="16" t="s">
        <v>259</v>
      </c>
      <c r="B219" s="17">
        <v>1.9749999999999999E-9</v>
      </c>
      <c r="C219" s="16" t="s">
        <v>14</v>
      </c>
      <c r="D219" s="16"/>
      <c r="E219" s="16"/>
      <c r="F219" s="16"/>
    </row>
    <row r="220" spans="1:6">
      <c r="A220" s="16" t="s">
        <v>280</v>
      </c>
      <c r="B220" s="17">
        <v>2.3750000000000002E-9</v>
      </c>
      <c r="C220" s="16" t="s">
        <v>14</v>
      </c>
      <c r="D220" s="16"/>
      <c r="E220" s="16"/>
      <c r="F220" s="16"/>
    </row>
    <row r="221" spans="1:6">
      <c r="A221" s="16" t="s">
        <v>281</v>
      </c>
      <c r="B221" s="17">
        <v>6.8750000000000002E-6</v>
      </c>
      <c r="C221" s="16" t="s">
        <v>253</v>
      </c>
      <c r="D221" s="16"/>
      <c r="E221" s="16"/>
      <c r="F221" s="16"/>
    </row>
    <row r="222" spans="1:6">
      <c r="A222" s="16" t="s">
        <v>282</v>
      </c>
      <c r="B222" s="17">
        <v>4.3749999999999996E-6</v>
      </c>
      <c r="C222" s="16" t="s">
        <v>253</v>
      </c>
      <c r="D222" s="16"/>
      <c r="E222" s="16"/>
      <c r="F222" s="16"/>
    </row>
    <row r="223" spans="1:6">
      <c r="A223" s="16" t="s">
        <v>260</v>
      </c>
      <c r="B223" s="17">
        <v>7.8999999999999996E-10</v>
      </c>
      <c r="C223" s="16" t="s">
        <v>14</v>
      </c>
      <c r="D223" s="16"/>
      <c r="E223" s="16"/>
      <c r="F223" s="16"/>
    </row>
    <row r="224" spans="1:6">
      <c r="A224" s="16" t="s">
        <v>261</v>
      </c>
      <c r="B224" s="17">
        <v>4.7375000000000002E-7</v>
      </c>
      <c r="C224" s="16" t="s">
        <v>14</v>
      </c>
      <c r="D224" s="16"/>
      <c r="E224" s="16"/>
      <c r="F224" s="16"/>
    </row>
    <row r="225" spans="1:6">
      <c r="A225" s="16" t="s">
        <v>147</v>
      </c>
      <c r="B225" s="17">
        <v>1.2499999999999999E-7</v>
      </c>
      <c r="C225" s="16" t="s">
        <v>14</v>
      </c>
      <c r="D225" s="16"/>
      <c r="E225" s="16"/>
      <c r="F225" s="16"/>
    </row>
    <row r="226" spans="1:6">
      <c r="A226" s="16" t="s">
        <v>283</v>
      </c>
      <c r="B226" s="17">
        <v>3.1625000000000002E-9</v>
      </c>
      <c r="C226" s="16" t="s">
        <v>14</v>
      </c>
      <c r="D226" s="16"/>
      <c r="E226" s="16"/>
      <c r="F226" s="16"/>
    </row>
    <row r="227" spans="1:6">
      <c r="A227" s="16" t="s">
        <v>284</v>
      </c>
      <c r="B227" s="17">
        <v>1.2500000000000001E-5</v>
      </c>
      <c r="C227" s="16" t="s">
        <v>253</v>
      </c>
      <c r="D227" s="16"/>
      <c r="E227" s="16"/>
      <c r="F227" s="16"/>
    </row>
    <row r="228" spans="1:6">
      <c r="A228" s="16" t="s">
        <v>262</v>
      </c>
      <c r="B228" s="17">
        <v>4.7374999999999999E-8</v>
      </c>
      <c r="C228" s="16" t="s">
        <v>14</v>
      </c>
      <c r="D228" s="16"/>
      <c r="E228" s="16"/>
      <c r="F228" s="16"/>
    </row>
    <row r="229" spans="1:6">
      <c r="A229" s="16" t="s">
        <v>263</v>
      </c>
      <c r="B229" s="17">
        <v>1.125E-6</v>
      </c>
      <c r="C229" s="16" t="s">
        <v>23</v>
      </c>
      <c r="D229" s="16"/>
      <c r="E229" s="16"/>
      <c r="F229" s="16"/>
    </row>
    <row r="230" spans="1:6">
      <c r="A230" s="16" t="s">
        <v>263</v>
      </c>
      <c r="B230" s="17">
        <v>6.3749999999999999E-6</v>
      </c>
      <c r="C230" s="16" t="s">
        <v>23</v>
      </c>
      <c r="D230" s="16"/>
      <c r="E230" s="16"/>
      <c r="F230" s="16"/>
    </row>
    <row r="231" spans="1:6">
      <c r="A231" s="16" t="s">
        <v>285</v>
      </c>
      <c r="B231" s="17">
        <v>1.2499999999999999E-7</v>
      </c>
      <c r="C231" s="16" t="s">
        <v>14</v>
      </c>
      <c r="D231" s="16"/>
      <c r="E231" s="16"/>
      <c r="F231" s="16"/>
    </row>
    <row r="232" spans="1:6">
      <c r="A232" s="16" t="s">
        <v>264</v>
      </c>
      <c r="B232" s="17">
        <v>3.9499999999999998E-9</v>
      </c>
      <c r="C232" s="16" t="s">
        <v>14</v>
      </c>
      <c r="D232" s="16"/>
      <c r="E232" s="16"/>
      <c r="F232" s="16"/>
    </row>
    <row r="234" spans="1:6" ht="15">
      <c r="A234" s="27" t="s">
        <v>184</v>
      </c>
      <c r="B234" s="39" t="s">
        <v>80</v>
      </c>
      <c r="C234" s="29">
        <v>1</v>
      </c>
      <c r="D234" s="28"/>
      <c r="E234" s="28" t="s">
        <v>286</v>
      </c>
      <c r="F234" s="28"/>
    </row>
    <row r="235" spans="1:6" ht="15">
      <c r="A235" s="27" t="s">
        <v>44</v>
      </c>
      <c r="B235" s="28"/>
      <c r="C235" s="28"/>
      <c r="D235" s="28"/>
      <c r="E235" s="28"/>
      <c r="F235" s="28"/>
    </row>
    <row r="236" spans="1:6">
      <c r="A236" s="28" t="s">
        <v>287</v>
      </c>
      <c r="B236" s="28">
        <v>0</v>
      </c>
      <c r="C236" s="28" t="s">
        <v>73</v>
      </c>
      <c r="D236" s="28"/>
      <c r="E236" s="28"/>
      <c r="F236" s="28" t="s">
        <v>84</v>
      </c>
    </row>
    <row r="237" spans="1:6">
      <c r="A237" s="28" t="s">
        <v>85</v>
      </c>
      <c r="B237" s="28">
        <v>0</v>
      </c>
      <c r="C237" s="28" t="s">
        <v>65</v>
      </c>
      <c r="D237" s="28"/>
      <c r="E237" s="28"/>
      <c r="F237" s="28" t="s">
        <v>68</v>
      </c>
    </row>
    <row r="238" spans="1:6">
      <c r="A238" s="28" t="s">
        <v>288</v>
      </c>
      <c r="B238" s="28">
        <v>0</v>
      </c>
      <c r="C238" s="28" t="s">
        <v>50</v>
      </c>
      <c r="D238" s="28"/>
      <c r="E238" s="28"/>
      <c r="F238" s="28" t="s">
        <v>88</v>
      </c>
    </row>
    <row r="239" spans="1:6">
      <c r="A239" s="28"/>
      <c r="B239" s="28"/>
      <c r="C239" s="28"/>
      <c r="D239" s="28"/>
      <c r="E239" s="28"/>
      <c r="F239" s="28"/>
    </row>
    <row r="240" spans="1:6" ht="15">
      <c r="A240" s="27" t="s">
        <v>76</v>
      </c>
      <c r="B240" s="28"/>
      <c r="C240" s="28"/>
      <c r="D240" s="28"/>
      <c r="E240" s="28"/>
      <c r="F240" s="28"/>
    </row>
    <row r="241" spans="1:6">
      <c r="A241" s="28" t="s">
        <v>45</v>
      </c>
      <c r="B241" s="28">
        <v>1</v>
      </c>
      <c r="C241" s="28" t="s">
        <v>73</v>
      </c>
      <c r="D241" s="28"/>
      <c r="E241" s="28"/>
      <c r="F241" s="28"/>
    </row>
    <row r="242" spans="1:6">
      <c r="A242" s="28" t="s">
        <v>289</v>
      </c>
      <c r="B242" s="29">
        <f>B14*B13*B72/0.6</f>
        <v>5.7072279863076911</v>
      </c>
      <c r="C242" s="28" t="s">
        <v>290</v>
      </c>
      <c r="D242" s="28"/>
      <c r="E242" s="28"/>
      <c r="F242" s="28"/>
    </row>
    <row r="243" spans="1:6">
      <c r="A243" s="28" t="s">
        <v>291</v>
      </c>
      <c r="B243" s="37">
        <f>B72-B256</f>
        <v>0.17020699157118452</v>
      </c>
      <c r="C243" s="28" t="s">
        <v>14</v>
      </c>
      <c r="D243" s="28"/>
      <c r="E243" s="28"/>
      <c r="F243" s="28" t="s">
        <v>104</v>
      </c>
    </row>
    <row r="244" spans="1:6">
      <c r="A244" s="28" t="s">
        <v>91</v>
      </c>
      <c r="B244" s="28">
        <v>0</v>
      </c>
      <c r="C244" s="29" t="s">
        <v>14</v>
      </c>
      <c r="D244" s="28"/>
      <c r="E244" s="28"/>
      <c r="F244" s="28"/>
    </row>
    <row r="245" spans="1:6">
      <c r="A245" s="28" t="s">
        <v>92</v>
      </c>
      <c r="B245" s="28">
        <v>0</v>
      </c>
      <c r="C245" s="29" t="s">
        <v>14</v>
      </c>
      <c r="D245" s="28"/>
      <c r="E245" s="28"/>
      <c r="F245" s="28"/>
    </row>
    <row r="246" spans="1:6">
      <c r="A246" s="28" t="s">
        <v>93</v>
      </c>
      <c r="B246" s="28">
        <v>0</v>
      </c>
      <c r="C246" s="29" t="s">
        <v>14</v>
      </c>
      <c r="D246" s="28"/>
      <c r="E246" s="28"/>
      <c r="F246" s="28"/>
    </row>
    <row r="247" spans="1:6">
      <c r="A247" s="28" t="s">
        <v>94</v>
      </c>
      <c r="B247" s="28">
        <v>0</v>
      </c>
      <c r="C247" s="29" t="s">
        <v>14</v>
      </c>
      <c r="D247" s="28"/>
      <c r="E247" s="28"/>
      <c r="F247" s="28"/>
    </row>
    <row r="248" spans="1:6">
      <c r="A248" s="28" t="s">
        <v>95</v>
      </c>
      <c r="B248" s="28">
        <v>0</v>
      </c>
      <c r="C248" s="29" t="s">
        <v>14</v>
      </c>
      <c r="D248" s="28"/>
      <c r="E248" s="28"/>
      <c r="F248" s="28"/>
    </row>
    <row r="250" spans="1:6" ht="15">
      <c r="A250" s="4" t="s">
        <v>293</v>
      </c>
      <c r="B250" s="2"/>
      <c r="C250" s="2"/>
      <c r="D250" s="2"/>
      <c r="E250" s="2"/>
      <c r="F250" s="2"/>
    </row>
    <row r="251" spans="1:6">
      <c r="A251" s="5" t="s">
        <v>337</v>
      </c>
      <c r="B251" s="5">
        <f>B14*B13*B72/0.6</f>
        <v>5.7072279863076911</v>
      </c>
      <c r="C251" s="5" t="s">
        <v>295</v>
      </c>
      <c r="D251" s="2"/>
      <c r="E251" s="2"/>
      <c r="F251" s="2"/>
    </row>
    <row r="252" spans="1:6">
      <c r="A252" s="2" t="s">
        <v>296</v>
      </c>
      <c r="B252" s="2"/>
      <c r="C252" s="2"/>
      <c r="D252" s="2"/>
      <c r="E252" s="5"/>
      <c r="F252" s="2"/>
    </row>
    <row r="253" spans="1:6">
      <c r="A253" s="2" t="s">
        <v>297</v>
      </c>
      <c r="B253" s="5">
        <f>B72</f>
        <v>0.17713308461538457</v>
      </c>
      <c r="C253" s="5" t="s">
        <v>14</v>
      </c>
      <c r="D253" s="5"/>
      <c r="E253" s="5"/>
      <c r="F253" s="2"/>
    </row>
    <row r="254" spans="1:6">
      <c r="A254" s="2" t="s">
        <v>298</v>
      </c>
      <c r="B254" s="5">
        <f>(1*B242)/(0.0821*273)</f>
        <v>0.25463577368382567</v>
      </c>
      <c r="C254" s="2"/>
      <c r="D254" s="5"/>
      <c r="E254" s="5"/>
      <c r="F254" s="2"/>
    </row>
    <row r="255" spans="1:6">
      <c r="A255" s="2" t="s">
        <v>299</v>
      </c>
      <c r="B255" s="2">
        <f>16*0.6+44*0.4</f>
        <v>27.200000000000003</v>
      </c>
      <c r="C255" s="2" t="s">
        <v>40</v>
      </c>
      <c r="D255" s="2"/>
      <c r="E255" s="2"/>
      <c r="F255" s="2"/>
    </row>
    <row r="256" spans="1:6">
      <c r="A256" s="2" t="s">
        <v>300</v>
      </c>
      <c r="B256" s="5">
        <f>B255*B254/1000</f>
        <v>6.9260930442000598E-3</v>
      </c>
      <c r="C256" s="2" t="s">
        <v>14</v>
      </c>
      <c r="D256" s="2"/>
      <c r="E256" s="2"/>
      <c r="F256" s="2"/>
    </row>
    <row r="257" spans="1:6" ht="20.25">
      <c r="A257" s="2" t="s">
        <v>301</v>
      </c>
      <c r="B257" s="5">
        <f>B253-B256</f>
        <v>0.17020699157118452</v>
      </c>
      <c r="C257" s="2" t="s">
        <v>14</v>
      </c>
      <c r="D257" s="2"/>
      <c r="E257" s="40"/>
      <c r="F257" s="2"/>
    </row>
    <row r="258" spans="1:6">
      <c r="A258" s="2" t="s">
        <v>302</v>
      </c>
      <c r="B258" s="5">
        <f>(B72*B6)/B256</f>
        <v>31.226767375944792</v>
      </c>
      <c r="C258" s="2" t="s">
        <v>14</v>
      </c>
      <c r="D258" s="2"/>
      <c r="E258" s="2"/>
      <c r="F258" s="2"/>
    </row>
    <row r="260" spans="1:6" ht="15">
      <c r="A260" s="33" t="s">
        <v>303</v>
      </c>
      <c r="B260" s="24"/>
      <c r="C260" s="25"/>
      <c r="D260" s="24" t="s">
        <v>108</v>
      </c>
      <c r="E260" s="25"/>
      <c r="F260" s="25"/>
    </row>
    <row r="261" spans="1:6" ht="15">
      <c r="A261" s="24" t="s">
        <v>44</v>
      </c>
      <c r="B261" s="25"/>
      <c r="C261" s="25"/>
      <c r="D261" s="25"/>
      <c r="E261" s="25"/>
      <c r="F261" s="25"/>
    </row>
    <row r="262" spans="1:6">
      <c r="A262" s="25" t="s">
        <v>109</v>
      </c>
      <c r="B262" s="26">
        <v>2.0799999999999999E-4</v>
      </c>
      <c r="C262" s="25" t="s">
        <v>14</v>
      </c>
      <c r="D262" s="25"/>
      <c r="E262" s="25"/>
      <c r="F262" s="25" t="s">
        <v>110</v>
      </c>
    </row>
    <row r="263" spans="1:6">
      <c r="A263" s="25" t="s">
        <v>111</v>
      </c>
      <c r="B263" s="26">
        <v>5.4000000000000001E-11</v>
      </c>
      <c r="C263" s="25" t="s">
        <v>46</v>
      </c>
      <c r="D263" s="25"/>
      <c r="E263" s="25"/>
      <c r="F263" s="25" t="s">
        <v>112</v>
      </c>
    </row>
    <row r="264" spans="1:6">
      <c r="A264" s="25" t="s">
        <v>85</v>
      </c>
      <c r="B264" s="25">
        <v>0.18562874251497</v>
      </c>
      <c r="C264" s="25" t="s">
        <v>86</v>
      </c>
      <c r="D264" s="25"/>
      <c r="E264" s="25"/>
      <c r="F264" s="25" t="s">
        <v>68</v>
      </c>
    </row>
    <row r="265" spans="1:6">
      <c r="A265" s="25" t="s">
        <v>113</v>
      </c>
      <c r="B265" s="26">
        <v>1.4999999999999999E-4</v>
      </c>
      <c r="C265" s="25" t="s">
        <v>14</v>
      </c>
      <c r="D265" s="25"/>
      <c r="E265" s="25"/>
      <c r="F265" s="25" t="s">
        <v>114</v>
      </c>
    </row>
    <row r="266" spans="1:6">
      <c r="A266" s="25" t="s">
        <v>115</v>
      </c>
      <c r="B266" s="26">
        <v>3.98E-6</v>
      </c>
      <c r="C266" s="25" t="s">
        <v>14</v>
      </c>
      <c r="D266" s="25"/>
      <c r="E266" s="25"/>
      <c r="F266" s="25" t="s">
        <v>116</v>
      </c>
    </row>
    <row r="267" spans="1:6">
      <c r="A267" s="25"/>
      <c r="B267" s="26"/>
      <c r="C267" s="25"/>
      <c r="D267" s="25"/>
      <c r="E267" s="25"/>
      <c r="F267" s="25"/>
    </row>
    <row r="268" spans="1:6" ht="15">
      <c r="A268" s="24" t="s">
        <v>61</v>
      </c>
      <c r="B268" s="25"/>
      <c r="C268" s="25"/>
      <c r="D268" s="25"/>
      <c r="E268" s="25"/>
      <c r="F268" s="25"/>
    </row>
    <row r="269" spans="1:6">
      <c r="A269" s="25" t="s">
        <v>47</v>
      </c>
      <c r="B269" s="25">
        <v>1</v>
      </c>
      <c r="C269" s="25" t="s">
        <v>46</v>
      </c>
      <c r="D269" s="25"/>
      <c r="E269" s="25"/>
      <c r="F269" s="25"/>
    </row>
    <row r="270" spans="1:6">
      <c r="A270" s="25" t="s">
        <v>117</v>
      </c>
      <c r="B270" s="25">
        <v>1</v>
      </c>
      <c r="C270" s="25" t="s">
        <v>23</v>
      </c>
      <c r="D270" s="25"/>
      <c r="E270" s="25"/>
      <c r="F270" s="25"/>
    </row>
    <row r="271" spans="1:6">
      <c r="A271" s="25" t="s">
        <v>92</v>
      </c>
      <c r="B271" s="26">
        <v>0.97457000000000005</v>
      </c>
      <c r="C271" s="25" t="s">
        <v>14</v>
      </c>
      <c r="D271" s="25"/>
      <c r="E271" s="25"/>
      <c r="F271" s="25"/>
    </row>
    <row r="272" spans="1:6">
      <c r="A272" s="25" t="s">
        <v>118</v>
      </c>
      <c r="B272" s="26">
        <v>1.28</v>
      </c>
      <c r="C272" s="25" t="s">
        <v>50</v>
      </c>
      <c r="D272" s="25"/>
      <c r="E272" s="25"/>
      <c r="F272" s="25"/>
    </row>
    <row r="273" spans="1:6">
      <c r="A273" s="25" t="s">
        <v>94</v>
      </c>
      <c r="B273" s="26">
        <v>6.7000000000000002E-6</v>
      </c>
      <c r="C273" s="25" t="s">
        <v>14</v>
      </c>
      <c r="D273" s="25"/>
      <c r="E273" s="25"/>
      <c r="F273" s="25"/>
    </row>
    <row r="274" spans="1:6">
      <c r="A274" s="25" t="s">
        <v>95</v>
      </c>
      <c r="B274" s="25">
        <v>8.6E-3</v>
      </c>
      <c r="C274" s="25" t="s">
        <v>14</v>
      </c>
      <c r="D274" s="25"/>
      <c r="E274" s="25"/>
      <c r="F274" s="25"/>
    </row>
    <row r="275" spans="1:6">
      <c r="A275" s="25" t="s">
        <v>119</v>
      </c>
      <c r="B275" s="25">
        <v>4.8779999999999997E-2</v>
      </c>
      <c r="C275" s="25" t="s">
        <v>14</v>
      </c>
      <c r="D275" s="25"/>
      <c r="E275" s="25"/>
      <c r="F275" s="25"/>
    </row>
    <row r="276" spans="1:6">
      <c r="A276" s="25" t="s">
        <v>120</v>
      </c>
      <c r="B276" s="26">
        <v>6.5989999999999998E-6</v>
      </c>
      <c r="C276" s="25" t="s">
        <v>14</v>
      </c>
      <c r="D276" s="25"/>
      <c r="E276" s="25"/>
      <c r="F276" s="25"/>
    </row>
    <row r="278" spans="1:6" ht="15">
      <c r="A278" s="34" t="s">
        <v>186</v>
      </c>
      <c r="B278" s="28"/>
      <c r="C278" s="28"/>
      <c r="D278" s="27" t="s">
        <v>121</v>
      </c>
      <c r="E278" s="28"/>
      <c r="F278" s="28"/>
    </row>
    <row r="279" spans="1:6" ht="15">
      <c r="A279" s="27" t="s">
        <v>44</v>
      </c>
      <c r="B279" s="28"/>
      <c r="C279" s="28"/>
      <c r="D279" s="28"/>
      <c r="E279" s="28"/>
      <c r="F279" s="28"/>
    </row>
    <row r="280" spans="1:6">
      <c r="A280" s="28" t="s">
        <v>85</v>
      </c>
      <c r="B280" s="28">
        <v>2.7244000000000001E-3</v>
      </c>
      <c r="C280" s="28" t="s">
        <v>86</v>
      </c>
      <c r="D280" s="28"/>
      <c r="E280" s="28"/>
      <c r="F280" s="28" t="s">
        <v>68</v>
      </c>
    </row>
    <row r="281" spans="1:6">
      <c r="A281" s="28" t="s">
        <v>122</v>
      </c>
      <c r="B281" s="29">
        <v>6.4679999999999999E-7</v>
      </c>
      <c r="C281" s="28" t="s">
        <v>46</v>
      </c>
      <c r="D281" s="28"/>
      <c r="E281" s="28"/>
      <c r="F281" s="28" t="s">
        <v>123</v>
      </c>
    </row>
    <row r="282" spans="1:6">
      <c r="A282" s="28"/>
      <c r="B282" s="28"/>
      <c r="C282" s="28"/>
      <c r="D282" s="28"/>
      <c r="E282" s="28"/>
      <c r="F282" s="28"/>
    </row>
    <row r="283" spans="1:6" ht="15">
      <c r="A283" s="27" t="s">
        <v>61</v>
      </c>
      <c r="B283" s="28"/>
      <c r="C283" s="28"/>
      <c r="D283" s="28"/>
      <c r="E283" s="28"/>
      <c r="F283" s="28"/>
    </row>
    <row r="284" spans="1:6">
      <c r="A284" s="28" t="s">
        <v>124</v>
      </c>
      <c r="B284" s="28">
        <v>1</v>
      </c>
      <c r="C284" s="28" t="s">
        <v>46</v>
      </c>
      <c r="D284" s="28"/>
      <c r="E284" s="28"/>
      <c r="F284" s="28"/>
    </row>
    <row r="285" spans="1:6">
      <c r="A285" s="28" t="s">
        <v>125</v>
      </c>
      <c r="B285" s="28">
        <v>0</v>
      </c>
      <c r="C285" s="28" t="s">
        <v>50</v>
      </c>
      <c r="D285" s="28"/>
      <c r="E285" s="28" t="s">
        <v>126</v>
      </c>
      <c r="F285" s="28"/>
    </row>
    <row r="286" spans="1:6">
      <c r="A286" s="28" t="s">
        <v>128</v>
      </c>
      <c r="B286" s="29">
        <v>9.7999999999999992E-10</v>
      </c>
      <c r="C286" s="28" t="s">
        <v>14</v>
      </c>
      <c r="D286" s="28"/>
      <c r="E286" s="28"/>
      <c r="F286" s="28"/>
    </row>
    <row r="287" spans="1:6">
      <c r="A287" s="28" t="s">
        <v>129</v>
      </c>
      <c r="B287" s="29">
        <v>1.4700000000000001E-7</v>
      </c>
      <c r="C287" s="28" t="s">
        <v>14</v>
      </c>
      <c r="D287" s="28"/>
      <c r="E287" s="28"/>
      <c r="F287" s="28"/>
    </row>
    <row r="288" spans="1:6">
      <c r="A288" s="28" t="s">
        <v>130</v>
      </c>
      <c r="B288" s="29">
        <v>3.9200000000000002E-7</v>
      </c>
      <c r="C288" s="28" t="s">
        <v>14</v>
      </c>
      <c r="D288" s="28"/>
      <c r="E288" s="28"/>
      <c r="F288" s="28"/>
    </row>
    <row r="289" spans="1:6">
      <c r="A289" s="28" t="s">
        <v>131</v>
      </c>
      <c r="B289" s="29">
        <v>9.7999999999999994E-12</v>
      </c>
      <c r="C289" s="28" t="s">
        <v>14</v>
      </c>
      <c r="D289" s="28"/>
      <c r="E289" s="28"/>
      <c r="F289" s="28"/>
    </row>
    <row r="290" spans="1:6">
      <c r="A290" s="28" t="s">
        <v>132</v>
      </c>
      <c r="B290" s="29">
        <v>6.8599999999999998E-7</v>
      </c>
      <c r="C290" s="28" t="s">
        <v>14</v>
      </c>
      <c r="D290" s="28"/>
      <c r="E290" s="28"/>
      <c r="F290" s="28"/>
    </row>
    <row r="291" spans="1:6">
      <c r="A291" s="28" t="s">
        <v>92</v>
      </c>
      <c r="B291" s="28">
        <v>5.4879999999999998E-2</v>
      </c>
      <c r="C291" s="28" t="s">
        <v>14</v>
      </c>
      <c r="D291" s="28"/>
      <c r="E291" s="28"/>
      <c r="F291" s="28"/>
    </row>
    <row r="292" spans="1:6">
      <c r="A292" s="28" t="s">
        <v>133</v>
      </c>
      <c r="B292" s="29">
        <v>5.7819999999999999E-6</v>
      </c>
      <c r="C292" s="28" t="s">
        <v>14</v>
      </c>
      <c r="D292" s="28"/>
      <c r="E292" s="28"/>
      <c r="F292" s="28"/>
    </row>
    <row r="293" spans="1:6">
      <c r="A293" s="28" t="s">
        <v>93</v>
      </c>
      <c r="B293" s="29">
        <v>4.8999999999999997E-7</v>
      </c>
      <c r="C293" s="28" t="s">
        <v>14</v>
      </c>
      <c r="D293" s="28"/>
      <c r="E293" s="28"/>
      <c r="F293" s="28"/>
    </row>
    <row r="294" spans="1:6">
      <c r="A294" s="28" t="s">
        <v>134</v>
      </c>
      <c r="B294" s="29">
        <v>2.9400000000000001E-17</v>
      </c>
      <c r="C294" s="28" t="s">
        <v>14</v>
      </c>
      <c r="D294" s="28"/>
      <c r="E294" s="28"/>
      <c r="F294" s="28"/>
    </row>
    <row r="295" spans="1:6">
      <c r="A295" s="28" t="s">
        <v>135</v>
      </c>
      <c r="B295" s="29">
        <v>9.8000000000000004E-8</v>
      </c>
      <c r="C295" s="28" t="s">
        <v>14</v>
      </c>
      <c r="D295" s="28"/>
      <c r="E295" s="28"/>
      <c r="F295" s="28"/>
    </row>
    <row r="296" spans="1:6">
      <c r="A296" s="28" t="s">
        <v>136</v>
      </c>
      <c r="B296" s="29">
        <v>2.9400000000000003E-11</v>
      </c>
      <c r="C296" s="28" t="s">
        <v>14</v>
      </c>
      <c r="D296" s="28"/>
      <c r="E296" s="28"/>
      <c r="F296" s="28"/>
    </row>
    <row r="297" spans="1:6">
      <c r="A297" s="28" t="s">
        <v>95</v>
      </c>
      <c r="B297" s="29">
        <v>1.9599999999999999E-6</v>
      </c>
      <c r="C297" s="28" t="s">
        <v>14</v>
      </c>
      <c r="D297" s="28"/>
      <c r="E297" s="28"/>
      <c r="F297" s="28"/>
    </row>
    <row r="298" spans="1:6">
      <c r="A298" s="28" t="s">
        <v>137</v>
      </c>
      <c r="B298" s="29">
        <v>1.2739999999999999E-7</v>
      </c>
      <c r="C298" s="28" t="s">
        <v>14</v>
      </c>
      <c r="D298" s="28"/>
      <c r="E298" s="28"/>
      <c r="F298" s="28"/>
    </row>
    <row r="299" spans="1:6">
      <c r="A299" s="28" t="s">
        <v>138</v>
      </c>
      <c r="B299" s="29">
        <v>2.9400000000000002E-9</v>
      </c>
      <c r="C299" s="28" t="s">
        <v>14</v>
      </c>
      <c r="D299" s="28"/>
      <c r="E299" s="28"/>
      <c r="F299" s="28"/>
    </row>
    <row r="300" spans="1:6">
      <c r="A300" s="28" t="s">
        <v>139</v>
      </c>
      <c r="B300" s="29">
        <v>9.7019999999999996E-6</v>
      </c>
      <c r="C300" s="28" t="s">
        <v>14</v>
      </c>
      <c r="D300" s="28"/>
      <c r="E300" s="28"/>
      <c r="F300" s="28"/>
    </row>
    <row r="301" spans="1:6">
      <c r="A301" s="28" t="s">
        <v>140</v>
      </c>
      <c r="B301" s="29">
        <v>9.8000000000000001E-9</v>
      </c>
      <c r="C301" s="28" t="s">
        <v>14</v>
      </c>
      <c r="D301" s="28"/>
      <c r="E301" s="28"/>
      <c r="F301" s="28"/>
    </row>
    <row r="302" spans="1:6">
      <c r="A302" s="28" t="s">
        <v>141</v>
      </c>
      <c r="B302" s="29">
        <v>9.8000000000000004E-8</v>
      </c>
      <c r="C302" s="28" t="s">
        <v>14</v>
      </c>
      <c r="D302" s="28"/>
      <c r="E302" s="28"/>
      <c r="F302" s="28"/>
    </row>
    <row r="303" spans="1:6">
      <c r="A303" s="28" t="s">
        <v>142</v>
      </c>
      <c r="B303" s="29">
        <v>1.176E-6</v>
      </c>
      <c r="C303" s="28" t="s">
        <v>14</v>
      </c>
      <c r="D303" s="28"/>
      <c r="E303" s="28"/>
      <c r="F303" s="28"/>
    </row>
    <row r="304" spans="1:6">
      <c r="A304" s="28" t="s">
        <v>143</v>
      </c>
      <c r="B304" s="29">
        <v>1.9600000000000001E-7</v>
      </c>
      <c r="C304" s="28" t="s">
        <v>14</v>
      </c>
      <c r="D304" s="28"/>
      <c r="E304" s="28"/>
      <c r="F304" s="28"/>
    </row>
    <row r="305" spans="1:6">
      <c r="A305" s="28" t="s">
        <v>144</v>
      </c>
      <c r="B305" s="29">
        <v>1.96E-8</v>
      </c>
      <c r="C305" s="28" t="s">
        <v>14</v>
      </c>
      <c r="D305" s="28"/>
      <c r="E305" s="28"/>
      <c r="F305" s="28"/>
    </row>
    <row r="306" spans="1:6">
      <c r="A306" s="28" t="s">
        <v>145</v>
      </c>
      <c r="B306" s="29">
        <v>4.9000000000000002E-8</v>
      </c>
      <c r="C306" s="28" t="s">
        <v>14</v>
      </c>
      <c r="D306" s="28"/>
      <c r="E306" s="28"/>
      <c r="F306" s="28"/>
    </row>
    <row r="307" spans="1:6">
      <c r="A307" s="28" t="s">
        <v>146</v>
      </c>
      <c r="B307" s="29">
        <v>4.9000000000000002E-8</v>
      </c>
      <c r="C307" s="28" t="s">
        <v>14</v>
      </c>
      <c r="D307" s="28"/>
      <c r="E307" s="28"/>
      <c r="F307" s="28"/>
    </row>
    <row r="308" spans="1:6">
      <c r="A308" s="28" t="s">
        <v>120</v>
      </c>
      <c r="B308" s="29">
        <v>4.8999999999999997E-7</v>
      </c>
      <c r="C308" s="28" t="s">
        <v>14</v>
      </c>
      <c r="D308" s="28"/>
      <c r="E308" s="28"/>
      <c r="F308" s="28"/>
    </row>
    <row r="309" spans="1:6">
      <c r="A309" s="28" t="s">
        <v>147</v>
      </c>
      <c r="B309" s="29">
        <v>1.9600000000000001E-7</v>
      </c>
      <c r="C309" s="28" t="s">
        <v>14</v>
      </c>
      <c r="D309" s="28"/>
      <c r="E309" s="28"/>
      <c r="F309" s="28"/>
    </row>
    <row r="311" spans="1:6" ht="15">
      <c r="A311" s="30" t="s">
        <v>304</v>
      </c>
      <c r="B311" s="16"/>
      <c r="C311" s="16"/>
      <c r="D311" s="16"/>
      <c r="E311" s="16"/>
      <c r="F311" s="16"/>
    </row>
    <row r="312" spans="1:6" ht="15">
      <c r="A312" s="15" t="s">
        <v>44</v>
      </c>
      <c r="B312" s="16"/>
      <c r="C312" s="16"/>
      <c r="D312" s="16"/>
      <c r="E312" s="16"/>
      <c r="F312" s="16"/>
    </row>
    <row r="313" spans="1:6">
      <c r="A313" s="16" t="s">
        <v>85</v>
      </c>
      <c r="B313" s="16">
        <v>4.6333333333333296E-3</v>
      </c>
      <c r="C313" s="16" t="s">
        <v>86</v>
      </c>
      <c r="D313" s="16"/>
      <c r="E313" s="16"/>
      <c r="F313" s="16" t="s">
        <v>68</v>
      </c>
    </row>
    <row r="314" spans="1:6">
      <c r="A314" s="16" t="s">
        <v>149</v>
      </c>
      <c r="B314" s="17">
        <v>3.1111111111111102E-9</v>
      </c>
      <c r="C314" s="16" t="s">
        <v>46</v>
      </c>
      <c r="D314" s="16"/>
      <c r="E314" s="16"/>
      <c r="F314" s="16" t="s">
        <v>150</v>
      </c>
    </row>
    <row r="315" spans="1:6">
      <c r="A315" s="16" t="s">
        <v>151</v>
      </c>
      <c r="B315" s="16">
        <v>3.0864197530864199E-2</v>
      </c>
      <c r="C315" s="16" t="s">
        <v>23</v>
      </c>
      <c r="D315" s="16"/>
      <c r="E315" s="16"/>
      <c r="F315" s="16" t="s">
        <v>152</v>
      </c>
    </row>
    <row r="316" spans="1:6">
      <c r="A316" s="16"/>
      <c r="B316" s="16"/>
      <c r="C316" s="16"/>
      <c r="D316" s="16"/>
      <c r="E316" s="16"/>
      <c r="F316" s="16"/>
    </row>
    <row r="317" spans="1:6" ht="15">
      <c r="A317" s="15" t="s">
        <v>76</v>
      </c>
      <c r="B317" s="16"/>
      <c r="C317" s="16"/>
      <c r="D317" s="16"/>
      <c r="E317" s="16"/>
      <c r="F317" s="16"/>
    </row>
    <row r="318" spans="1:6">
      <c r="A318" s="16" t="s">
        <v>87</v>
      </c>
      <c r="B318" s="16">
        <v>1</v>
      </c>
      <c r="C318" s="16" t="s">
        <v>50</v>
      </c>
      <c r="D318" s="16"/>
      <c r="E318" s="16"/>
      <c r="F318" s="16"/>
    </row>
    <row r="319" spans="1:6">
      <c r="A319" s="16" t="s">
        <v>128</v>
      </c>
      <c r="B319" s="17">
        <v>1.11111111111111E-9</v>
      </c>
      <c r="C319" s="16" t="s">
        <v>14</v>
      </c>
      <c r="D319" s="16"/>
      <c r="E319" s="16"/>
      <c r="F319" s="16"/>
    </row>
    <row r="320" spans="1:6">
      <c r="A320" s="16" t="s">
        <v>129</v>
      </c>
      <c r="B320" s="17">
        <v>1.6666666666666699E-7</v>
      </c>
      <c r="C320" s="16" t="s">
        <v>14</v>
      </c>
      <c r="D320" s="16"/>
      <c r="E320" s="16"/>
      <c r="F320" s="16"/>
    </row>
    <row r="321" spans="1:6">
      <c r="A321" s="16" t="s">
        <v>130</v>
      </c>
      <c r="B321" s="17">
        <v>4.4444444444444401E-7</v>
      </c>
      <c r="C321" s="16" t="s">
        <v>14</v>
      </c>
      <c r="D321" s="16"/>
      <c r="E321" s="16"/>
      <c r="F321" s="16"/>
    </row>
    <row r="322" spans="1:6">
      <c r="A322" s="17" t="s">
        <v>131</v>
      </c>
      <c r="B322" s="17">
        <v>1.11111111111111E-11</v>
      </c>
      <c r="C322" s="16" t="s">
        <v>14</v>
      </c>
      <c r="D322" s="16"/>
      <c r="E322" s="16"/>
      <c r="F322" s="16"/>
    </row>
    <row r="323" spans="1:6">
      <c r="A323" s="17" t="s">
        <v>132</v>
      </c>
      <c r="B323" s="17">
        <v>7.77777777777778E-7</v>
      </c>
      <c r="C323" s="16" t="s">
        <v>14</v>
      </c>
      <c r="D323" s="16"/>
      <c r="E323" s="16"/>
      <c r="F323" s="16"/>
    </row>
    <row r="324" spans="1:6">
      <c r="A324" s="17" t="s">
        <v>153</v>
      </c>
      <c r="B324" s="16">
        <v>6.22222222222222E-2</v>
      </c>
      <c r="C324" s="16" t="s">
        <v>14</v>
      </c>
      <c r="D324" s="16"/>
      <c r="E324" s="16"/>
      <c r="F324" s="16"/>
    </row>
    <row r="325" spans="1:6">
      <c r="A325" s="17" t="s">
        <v>154</v>
      </c>
      <c r="B325" s="17">
        <v>1.5555555555555599E-5</v>
      </c>
      <c r="C325" s="16" t="s">
        <v>14</v>
      </c>
      <c r="D325" s="16"/>
      <c r="E325" s="16"/>
      <c r="F325" s="16"/>
    </row>
    <row r="326" spans="1:6">
      <c r="A326" s="17" t="s">
        <v>93</v>
      </c>
      <c r="B326" s="17">
        <v>1.11111111111111E-7</v>
      </c>
      <c r="C326" s="16" t="s">
        <v>14</v>
      </c>
      <c r="D326" s="16"/>
      <c r="E326" s="16"/>
      <c r="F326" s="16"/>
    </row>
    <row r="327" spans="1:6">
      <c r="A327" s="16" t="s">
        <v>134</v>
      </c>
      <c r="B327" s="17">
        <v>3.3333333333333298E-17</v>
      </c>
      <c r="C327" s="16" t="s">
        <v>14</v>
      </c>
      <c r="D327" s="16"/>
      <c r="E327" s="16"/>
      <c r="F327" s="17"/>
    </row>
    <row r="328" spans="1:6">
      <c r="A328" s="16" t="s">
        <v>135</v>
      </c>
      <c r="B328" s="17">
        <v>1.11111111111111E-7</v>
      </c>
      <c r="C328" s="16" t="s">
        <v>14</v>
      </c>
      <c r="D328" s="16"/>
      <c r="E328" s="17"/>
      <c r="F328" s="16"/>
    </row>
    <row r="329" spans="1:6">
      <c r="A329" s="17" t="s">
        <v>136</v>
      </c>
      <c r="B329" s="17">
        <v>3.3333333333333302E-11</v>
      </c>
      <c r="C329" s="16" t="s">
        <v>14</v>
      </c>
      <c r="D329" s="16"/>
      <c r="E329" s="16"/>
      <c r="F329" s="16"/>
    </row>
    <row r="330" spans="1:6">
      <c r="A330" s="16" t="s">
        <v>155</v>
      </c>
      <c r="B330" s="17">
        <v>2.22222222222222E-6</v>
      </c>
      <c r="C330" s="16" t="s">
        <v>14</v>
      </c>
      <c r="D330" s="16"/>
      <c r="E330" s="16"/>
      <c r="F330" s="16"/>
    </row>
    <row r="331" spans="1:6">
      <c r="A331" s="16" t="s">
        <v>139</v>
      </c>
      <c r="B331" s="17">
        <v>2.5555555555555602E-5</v>
      </c>
      <c r="C331" s="16" t="s">
        <v>14</v>
      </c>
      <c r="D331" s="16"/>
      <c r="E331" s="16"/>
      <c r="F331" s="16"/>
    </row>
    <row r="332" spans="1:6">
      <c r="A332" s="16" t="s">
        <v>140</v>
      </c>
      <c r="B332" s="17">
        <v>1.11111111111111E-8</v>
      </c>
      <c r="C332" s="16" t="s">
        <v>14</v>
      </c>
      <c r="D332" s="16"/>
      <c r="E332" s="16"/>
      <c r="F332" s="16"/>
    </row>
    <row r="333" spans="1:6">
      <c r="A333" s="16" t="s">
        <v>141</v>
      </c>
      <c r="B333" s="17">
        <v>1.11111111111111E-7</v>
      </c>
      <c r="C333" s="16" t="s">
        <v>14</v>
      </c>
      <c r="D333" s="16"/>
      <c r="E333" s="16"/>
      <c r="F333" s="16"/>
    </row>
    <row r="334" spans="1:6">
      <c r="A334" s="17" t="s">
        <v>142</v>
      </c>
      <c r="B334" s="17">
        <v>1.33333333333333E-6</v>
      </c>
      <c r="C334" s="16" t="s">
        <v>14</v>
      </c>
      <c r="D334" s="16"/>
      <c r="E334" s="16"/>
      <c r="F334" s="16"/>
    </row>
    <row r="335" spans="1:6">
      <c r="A335" s="17" t="s">
        <v>143</v>
      </c>
      <c r="B335" s="17">
        <v>2.2222222222222201E-7</v>
      </c>
      <c r="C335" s="16" t="s">
        <v>14</v>
      </c>
      <c r="D335" s="16"/>
      <c r="E335" s="16"/>
      <c r="F335" s="16"/>
    </row>
    <row r="336" spans="1:6">
      <c r="A336" s="16" t="s">
        <v>144</v>
      </c>
      <c r="B336" s="17">
        <v>2.2222222222222201E-8</v>
      </c>
      <c r="C336" s="16" t="s">
        <v>14</v>
      </c>
      <c r="D336" s="16"/>
      <c r="E336" s="16"/>
      <c r="F336" s="16"/>
    </row>
    <row r="337" spans="1:6">
      <c r="A337" s="16" t="s">
        <v>120</v>
      </c>
      <c r="B337" s="17">
        <v>6.1111111111111095E-7</v>
      </c>
      <c r="C337" s="16" t="s">
        <v>14</v>
      </c>
      <c r="D337" s="16"/>
      <c r="E337" s="16"/>
      <c r="F337" s="16"/>
    </row>
    <row r="338" spans="1:6">
      <c r="A338" s="17" t="s">
        <v>147</v>
      </c>
      <c r="B338" s="17">
        <v>2.2222222222222201E-7</v>
      </c>
      <c r="C338" s="16" t="s">
        <v>14</v>
      </c>
      <c r="D338" s="16"/>
      <c r="E338" s="16"/>
      <c r="F338" s="16"/>
    </row>
    <row r="342" spans="1:6">
      <c r="B342" s="3"/>
    </row>
    <row r="343" spans="1:6">
      <c r="B343" s="3"/>
    </row>
    <row r="344" spans="1:6">
      <c r="B344" s="3"/>
    </row>
    <row r="351" spans="1:6">
      <c r="E351" s="3"/>
      <c r="F351" s="3"/>
    </row>
    <row r="352" spans="1:6">
      <c r="B352" s="3"/>
      <c r="E352" s="3"/>
      <c r="F352" s="3"/>
    </row>
    <row r="353" spans="1:6">
      <c r="B353" s="3"/>
      <c r="C353" s="3"/>
      <c r="E353" s="3"/>
      <c r="F353" s="3"/>
    </row>
    <row r="354" spans="1:6">
      <c r="B354" s="3"/>
      <c r="C354" s="3"/>
      <c r="E354" s="3"/>
      <c r="F354" s="3"/>
    </row>
    <row r="355" spans="1:6">
      <c r="B355" s="3"/>
      <c r="E355" s="3"/>
      <c r="F355" s="3"/>
    </row>
    <row r="356" spans="1:6">
      <c r="B356" s="3"/>
    </row>
    <row r="357" spans="1:6">
      <c r="A357" s="3"/>
      <c r="B357" s="3"/>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192C-FE92-431D-9E73-ACC905464382}">
  <dimension ref="A1:F357"/>
  <sheetViews>
    <sheetView topLeftCell="A267" zoomScale="22" zoomScaleNormal="55" workbookViewId="0">
      <selection activeCell="A68" sqref="A68"/>
    </sheetView>
  </sheetViews>
  <sheetFormatPr baseColWidth="10" defaultColWidth="9" defaultRowHeight="14.25"/>
  <cols>
    <col min="1" max="1" width="78.125" customWidth="1"/>
    <col min="2" max="2" width="79" customWidth="1"/>
    <col min="3" max="3" width="21.75" customWidth="1"/>
    <col min="4" max="4" width="28" customWidth="1"/>
    <col min="5" max="5" width="99.75" bestFit="1" customWidth="1"/>
    <col min="6" max="6" width="45.375" customWidth="1"/>
  </cols>
  <sheetData>
    <row r="1" spans="1:6" ht="15">
      <c r="A1" s="6" t="s">
        <v>6</v>
      </c>
      <c r="B1" s="6" t="s">
        <v>7</v>
      </c>
      <c r="C1" s="6" t="s">
        <v>8</v>
      </c>
      <c r="D1" s="6" t="s">
        <v>9</v>
      </c>
      <c r="E1" s="6" t="s">
        <v>10</v>
      </c>
      <c r="F1" s="6" t="s">
        <v>11</v>
      </c>
    </row>
    <row r="3" spans="1:6" ht="15">
      <c r="A3" s="36" t="s">
        <v>159</v>
      </c>
      <c r="B3" s="35"/>
      <c r="C3" s="35"/>
      <c r="D3" s="35"/>
      <c r="E3" s="35"/>
      <c r="F3" s="35"/>
    </row>
    <row r="4" spans="1:6">
      <c r="A4" s="35" t="s">
        <v>338</v>
      </c>
      <c r="B4" s="35">
        <v>0.1</v>
      </c>
      <c r="C4" s="35" t="s">
        <v>14</v>
      </c>
      <c r="D4" s="35" t="s">
        <v>339</v>
      </c>
      <c r="E4" s="35"/>
      <c r="F4" s="35"/>
    </row>
    <row r="5" spans="1:6">
      <c r="A5" s="35" t="s">
        <v>340</v>
      </c>
      <c r="B5" s="35">
        <v>0.76400000000000001</v>
      </c>
      <c r="C5" s="35"/>
      <c r="D5" s="35"/>
      <c r="E5" s="35"/>
      <c r="F5" s="35"/>
    </row>
    <row r="6" spans="1:6">
      <c r="A6" s="35" t="s">
        <v>160</v>
      </c>
      <c r="B6" s="35">
        <v>1.2210000000000001</v>
      </c>
      <c r="C6" s="35" t="s">
        <v>17</v>
      </c>
      <c r="D6" s="35"/>
      <c r="E6" s="35"/>
      <c r="F6" s="35"/>
    </row>
    <row r="7" spans="1:6">
      <c r="A7" s="42" t="s">
        <v>341</v>
      </c>
      <c r="B7" s="35">
        <v>0.56200000000000006</v>
      </c>
      <c r="C7" s="35"/>
      <c r="D7" s="35" t="s">
        <v>162</v>
      </c>
      <c r="E7" s="35"/>
      <c r="F7" s="35"/>
    </row>
    <row r="8" spans="1:6">
      <c r="A8" s="42" t="s">
        <v>342</v>
      </c>
      <c r="B8" s="35">
        <v>0.42299999999999999</v>
      </c>
      <c r="C8" s="35"/>
      <c r="D8" s="35" t="s">
        <v>162</v>
      </c>
      <c r="E8" s="35"/>
      <c r="F8" s="35"/>
    </row>
    <row r="9" spans="1:6">
      <c r="A9" s="42" t="s">
        <v>343</v>
      </c>
      <c r="B9" s="35">
        <v>1.4999999999999999E-2</v>
      </c>
      <c r="C9" s="35"/>
      <c r="D9" s="35" t="s">
        <v>162</v>
      </c>
      <c r="E9" s="35"/>
      <c r="F9" s="35"/>
    </row>
    <row r="10" spans="1:6">
      <c r="A10" s="42" t="s">
        <v>344</v>
      </c>
      <c r="B10" s="35">
        <v>0.76200000000000001</v>
      </c>
      <c r="C10" s="35"/>
      <c r="D10" s="35" t="s">
        <v>162</v>
      </c>
      <c r="E10" s="35"/>
      <c r="F10" s="35"/>
    </row>
    <row r="11" spans="1:6">
      <c r="A11" s="35" t="s">
        <v>166</v>
      </c>
      <c r="B11" s="35">
        <v>4.3249999999999997E-2</v>
      </c>
      <c r="C11" s="35" t="s">
        <v>14</v>
      </c>
      <c r="D11" s="35" t="s">
        <v>167</v>
      </c>
      <c r="E11" s="35"/>
      <c r="F11" s="35"/>
    </row>
    <row r="12" spans="1:6">
      <c r="A12" s="42" t="s">
        <v>168</v>
      </c>
      <c r="B12" s="35">
        <f>B17/27</f>
        <v>0.97777777777777775</v>
      </c>
      <c r="C12" s="35"/>
      <c r="D12" s="35" t="s">
        <v>169</v>
      </c>
      <c r="E12" s="35"/>
      <c r="F12" s="35"/>
    </row>
    <row r="13" spans="1:6">
      <c r="A13" s="42" t="s">
        <v>345</v>
      </c>
      <c r="B13" s="35">
        <f>13.1*4</f>
        <v>52.4</v>
      </c>
      <c r="C13" s="35" t="s">
        <v>171</v>
      </c>
      <c r="D13" s="35" t="s">
        <v>172</v>
      </c>
      <c r="E13" s="35"/>
      <c r="F13" s="35"/>
    </row>
    <row r="14" spans="1:6">
      <c r="A14" s="42" t="s">
        <v>346</v>
      </c>
      <c r="B14" s="35">
        <v>0.23580000000000001</v>
      </c>
      <c r="C14" s="35" t="s">
        <v>174</v>
      </c>
      <c r="D14" s="35" t="s">
        <v>172</v>
      </c>
      <c r="E14" s="35"/>
      <c r="F14" s="35"/>
    </row>
    <row r="15" spans="1:6">
      <c r="A15" s="35" t="s">
        <v>22</v>
      </c>
      <c r="B15" s="35">
        <v>1.53579</v>
      </c>
      <c r="C15" s="35" t="s">
        <v>23</v>
      </c>
      <c r="D15" s="35"/>
      <c r="E15" s="35"/>
      <c r="F15" s="35"/>
    </row>
    <row r="16" spans="1:6">
      <c r="A16" s="35" t="s">
        <v>24</v>
      </c>
      <c r="B16" s="35">
        <v>2.513E-2</v>
      </c>
      <c r="C16" s="35" t="s">
        <v>23</v>
      </c>
      <c r="D16" s="35"/>
      <c r="E16" s="35"/>
      <c r="F16" s="35"/>
    </row>
    <row r="17" spans="1:6">
      <c r="A17" s="35" t="s">
        <v>347</v>
      </c>
      <c r="B17" s="35">
        <f>26.4</f>
        <v>26.4</v>
      </c>
      <c r="C17" s="35" t="s">
        <v>177</v>
      </c>
      <c r="D17" s="35"/>
      <c r="E17" s="35"/>
      <c r="F17" s="35"/>
    </row>
    <row r="19" spans="1:6" ht="15">
      <c r="A19" s="34" t="s">
        <v>178</v>
      </c>
      <c r="B19" s="28"/>
      <c r="C19" s="28"/>
      <c r="D19" s="28"/>
      <c r="E19" s="28"/>
      <c r="F19" s="28"/>
    </row>
    <row r="20" spans="1:6" ht="15">
      <c r="A20" s="27" t="s">
        <v>44</v>
      </c>
      <c r="B20" s="28"/>
      <c r="C20" s="28"/>
      <c r="D20" s="28"/>
      <c r="E20" s="28"/>
      <c r="F20" s="28"/>
    </row>
    <row r="21" spans="1:6">
      <c r="A21" s="28" t="s">
        <v>45</v>
      </c>
      <c r="B21" s="28">
        <v>1</v>
      </c>
      <c r="C21" s="28" t="s">
        <v>46</v>
      </c>
      <c r="D21" s="28"/>
      <c r="E21" s="28"/>
      <c r="F21" s="28"/>
    </row>
    <row r="22" spans="1:6">
      <c r="A22" s="28" t="s">
        <v>47</v>
      </c>
      <c r="B22" s="28">
        <v>0.15650723831737146</v>
      </c>
      <c r="C22" s="28" t="s">
        <v>46</v>
      </c>
      <c r="D22" s="28"/>
      <c r="E22" s="28"/>
      <c r="F22" s="28"/>
    </row>
    <row r="23" spans="1:6">
      <c r="A23" s="28" t="s">
        <v>48</v>
      </c>
      <c r="B23" s="28">
        <v>1</v>
      </c>
      <c r="C23" s="28" t="s">
        <v>46</v>
      </c>
      <c r="D23" s="28"/>
      <c r="E23" s="28"/>
      <c r="F23" s="28"/>
    </row>
    <row r="24" spans="1:6">
      <c r="A24" s="28" t="s">
        <v>49</v>
      </c>
      <c r="B24" s="28">
        <v>6.2279044296606232</v>
      </c>
      <c r="C24" s="28" t="s">
        <v>46</v>
      </c>
      <c r="D24" s="28"/>
      <c r="E24" s="28"/>
      <c r="F24" s="28"/>
    </row>
    <row r="25" spans="1:6">
      <c r="A25" s="28" t="s">
        <v>51</v>
      </c>
      <c r="B25" s="28">
        <v>-6.2279044296606232</v>
      </c>
      <c r="C25" s="28" t="s">
        <v>50</v>
      </c>
      <c r="D25" s="28"/>
      <c r="E25" s="28"/>
      <c r="F25" s="28" t="s">
        <v>52</v>
      </c>
    </row>
    <row r="26" spans="1:6">
      <c r="A26" s="28" t="s">
        <v>53</v>
      </c>
      <c r="B26" s="28">
        <v>1</v>
      </c>
      <c r="C26" s="28" t="s">
        <v>46</v>
      </c>
      <c r="D26" s="28"/>
      <c r="E26" s="28"/>
      <c r="F26" s="28"/>
    </row>
    <row r="27" spans="1:6">
      <c r="A27" s="28" t="s">
        <v>54</v>
      </c>
      <c r="B27" s="29">
        <v>1</v>
      </c>
      <c r="C27" s="28" t="s">
        <v>46</v>
      </c>
      <c r="D27" s="28"/>
      <c r="E27" s="28"/>
      <c r="F27" s="28"/>
    </row>
    <row r="28" spans="1:6">
      <c r="A28" s="28" t="s">
        <v>179</v>
      </c>
      <c r="B28" s="28">
        <v>1</v>
      </c>
      <c r="C28" s="28" t="s">
        <v>46</v>
      </c>
      <c r="D28" s="28"/>
      <c r="E28" s="28"/>
      <c r="F28" s="28"/>
    </row>
    <row r="29" spans="1:6">
      <c r="A29" s="28" t="s">
        <v>180</v>
      </c>
      <c r="B29" s="28">
        <v>1</v>
      </c>
      <c r="C29" s="28" t="s">
        <v>46</v>
      </c>
      <c r="D29" s="28"/>
      <c r="E29" s="28"/>
      <c r="F29" s="28"/>
    </row>
    <row r="30" spans="1:6" ht="15">
      <c r="A30" s="28" t="s">
        <v>181</v>
      </c>
      <c r="B30" s="29">
        <f>B83*B12/B11</f>
        <v>0.33316537500892035</v>
      </c>
      <c r="C30" s="28" t="s">
        <v>46</v>
      </c>
      <c r="D30" s="28"/>
      <c r="E30" s="27"/>
      <c r="F30" s="28"/>
    </row>
    <row r="31" spans="1:6">
      <c r="A31" s="28" t="s">
        <v>182</v>
      </c>
      <c r="B31" s="29">
        <f>-B30</f>
        <v>-0.33316537500892035</v>
      </c>
      <c r="C31" s="28" t="s">
        <v>50</v>
      </c>
      <c r="D31" s="28"/>
      <c r="E31" s="28"/>
      <c r="F31" s="28" t="s">
        <v>183</v>
      </c>
    </row>
    <row r="32" spans="1:6">
      <c r="A32" s="28" t="s">
        <v>184</v>
      </c>
      <c r="B32" s="28">
        <v>1</v>
      </c>
      <c r="C32" s="28" t="s">
        <v>46</v>
      </c>
      <c r="D32" s="28"/>
      <c r="E32" s="28"/>
      <c r="F32" s="28"/>
    </row>
    <row r="33" spans="1:6">
      <c r="A33" s="28" t="s">
        <v>185</v>
      </c>
      <c r="B33" s="29">
        <f>(B242/1000)/B15</f>
        <v>8.302536774345622E-4</v>
      </c>
      <c r="C33" s="28" t="s">
        <v>46</v>
      </c>
      <c r="D33" s="28"/>
      <c r="E33" s="28"/>
      <c r="F33" s="28"/>
    </row>
    <row r="34" spans="1:6">
      <c r="A34" s="28" t="s">
        <v>186</v>
      </c>
      <c r="B34" s="29">
        <f>B33/B16</f>
        <v>3.3038347689397618E-2</v>
      </c>
      <c r="C34" s="28" t="s">
        <v>46</v>
      </c>
      <c r="D34" s="28"/>
      <c r="E34" s="28"/>
      <c r="F34" s="28"/>
    </row>
    <row r="35" spans="1:6">
      <c r="A35" s="28" t="s">
        <v>187</v>
      </c>
      <c r="B35" s="29">
        <f>-B34</f>
        <v>-3.3038347689397618E-2</v>
      </c>
      <c r="C35" s="28" t="s">
        <v>50</v>
      </c>
      <c r="D35" s="28"/>
      <c r="E35" s="28"/>
      <c r="F35" s="28" t="s">
        <v>52</v>
      </c>
    </row>
    <row r="36" spans="1:6">
      <c r="A36" s="28" t="s">
        <v>55</v>
      </c>
      <c r="B36" s="54">
        <v>-2.2793296089385481E-3</v>
      </c>
      <c r="C36" s="28" t="s">
        <v>14</v>
      </c>
      <c r="D36" s="28"/>
      <c r="E36" s="28"/>
      <c r="F36" s="28"/>
    </row>
    <row r="37" spans="1:6">
      <c r="A37" s="28" t="s">
        <v>57</v>
      </c>
      <c r="B37" s="54">
        <v>-2.4883907010272131E-4</v>
      </c>
      <c r="C37" s="28" t="s">
        <v>14</v>
      </c>
      <c r="D37" s="28"/>
      <c r="E37" s="28"/>
      <c r="F37" s="28"/>
    </row>
    <row r="38" spans="1:6">
      <c r="A38" s="28" t="s">
        <v>59</v>
      </c>
      <c r="B38" s="54">
        <v>-9.5225325884543794E-5</v>
      </c>
      <c r="C38" s="28" t="s">
        <v>14</v>
      </c>
      <c r="D38" s="28"/>
      <c r="E38" s="28"/>
      <c r="F38" s="28"/>
    </row>
    <row r="39" spans="1:6">
      <c r="A39" s="28"/>
      <c r="B39" s="28"/>
      <c r="C39" s="28"/>
      <c r="D39" s="28"/>
      <c r="E39" s="28"/>
      <c r="F39" s="28"/>
    </row>
    <row r="40" spans="1:6" ht="15">
      <c r="A40" s="27" t="s">
        <v>61</v>
      </c>
      <c r="B40" s="28"/>
      <c r="C40" s="28"/>
      <c r="D40" s="28"/>
      <c r="E40" s="28"/>
      <c r="F40" s="28"/>
    </row>
    <row r="41" spans="1:6">
      <c r="A41" s="28" t="s">
        <v>62</v>
      </c>
      <c r="B41" s="28">
        <v>1</v>
      </c>
      <c r="C41" s="28" t="s">
        <v>14</v>
      </c>
      <c r="D41" s="28"/>
      <c r="E41" s="28"/>
      <c r="F41" s="28"/>
    </row>
    <row r="43" spans="1:6" ht="15">
      <c r="A43" s="1" t="s">
        <v>317</v>
      </c>
    </row>
    <row r="44" spans="1:6" ht="15">
      <c r="A44" s="31" t="s">
        <v>333</v>
      </c>
      <c r="B44" s="19"/>
      <c r="C44" s="19"/>
      <c r="D44" s="19"/>
      <c r="E44" s="19"/>
      <c r="F44" s="19"/>
    </row>
    <row r="45" spans="1:6" ht="15">
      <c r="A45" s="18" t="s">
        <v>44</v>
      </c>
      <c r="B45" s="19"/>
      <c r="C45" s="19"/>
      <c r="D45" s="19"/>
      <c r="E45" s="19"/>
      <c r="F45" s="19"/>
    </row>
    <row r="46" spans="1:6">
      <c r="A46" s="19" t="s">
        <v>64</v>
      </c>
      <c r="B46" s="19">
        <f>20/1500</f>
        <v>1.3333333333333334E-2</v>
      </c>
      <c r="C46" s="19" t="s">
        <v>65</v>
      </c>
      <c r="D46" s="19"/>
      <c r="E46" s="19" t="s">
        <v>75</v>
      </c>
      <c r="F46" s="19" t="s">
        <v>68</v>
      </c>
    </row>
    <row r="47" spans="1:6">
      <c r="A47" s="19" t="s">
        <v>69</v>
      </c>
      <c r="B47" s="19">
        <f>2000/(20*3000*1500)</f>
        <v>2.2222222222222223E-5</v>
      </c>
      <c r="C47" s="19" t="s">
        <v>70</v>
      </c>
      <c r="D47" s="19"/>
      <c r="E47" s="19"/>
      <c r="F47" s="19" t="s">
        <v>72</v>
      </c>
    </row>
    <row r="48" spans="1:6">
      <c r="A48" s="19"/>
      <c r="B48" s="19"/>
      <c r="C48" s="19"/>
      <c r="D48" s="19"/>
      <c r="E48" s="19"/>
      <c r="F48" s="19"/>
    </row>
    <row r="49" spans="1:6" ht="15">
      <c r="A49" s="18" t="s">
        <v>76</v>
      </c>
      <c r="B49" s="19"/>
      <c r="C49" s="19"/>
      <c r="D49" s="19"/>
      <c r="E49" s="19"/>
      <c r="F49" s="19"/>
    </row>
    <row r="50" spans="1:6">
      <c r="A50" s="19" t="s">
        <v>53</v>
      </c>
      <c r="B50" s="19">
        <v>1</v>
      </c>
      <c r="C50" s="19" t="s">
        <v>73</v>
      </c>
      <c r="D50" s="19"/>
      <c r="E50" s="19"/>
      <c r="F50" s="19"/>
    </row>
    <row r="51" spans="1:6">
      <c r="A51" s="43" t="s">
        <v>334</v>
      </c>
      <c r="B51" s="43">
        <v>0.1</v>
      </c>
      <c r="C51" s="43" t="s">
        <v>14</v>
      </c>
      <c r="D51" s="19"/>
      <c r="E51" s="19"/>
      <c r="F51" s="19" t="s">
        <v>78</v>
      </c>
    </row>
    <row r="53" spans="1:6" ht="15">
      <c r="A53" s="18" t="s">
        <v>189</v>
      </c>
      <c r="B53" s="19"/>
      <c r="C53" s="19"/>
      <c r="D53" s="19"/>
      <c r="E53" s="19"/>
      <c r="F53" s="19"/>
    </row>
    <row r="54" spans="1:6" ht="15">
      <c r="A54" s="18" t="s">
        <v>44</v>
      </c>
      <c r="B54" s="19"/>
      <c r="C54" s="19"/>
      <c r="D54" s="19"/>
      <c r="E54" s="19"/>
      <c r="F54" s="19"/>
    </row>
    <row r="55" spans="1:6">
      <c r="A55" s="19" t="s">
        <v>85</v>
      </c>
      <c r="B55" s="19">
        <v>4.8703624122618545E-3</v>
      </c>
      <c r="C55" s="19" t="s">
        <v>65</v>
      </c>
      <c r="D55" s="19" t="s">
        <v>97</v>
      </c>
      <c r="E55" s="19" t="s">
        <v>98</v>
      </c>
      <c r="F55" s="19" t="s">
        <v>68</v>
      </c>
    </row>
    <row r="56" spans="1:6">
      <c r="A56" s="19" t="s">
        <v>99</v>
      </c>
      <c r="B56" s="20">
        <v>6.4102564102564103E-5</v>
      </c>
      <c r="C56" s="19" t="s">
        <v>14</v>
      </c>
      <c r="D56" s="19" t="s">
        <v>100</v>
      </c>
      <c r="E56" s="19" t="s">
        <v>101</v>
      </c>
      <c r="F56" s="19" t="s">
        <v>72</v>
      </c>
    </row>
    <row r="57" spans="1:6">
      <c r="A57" s="19"/>
      <c r="B57" s="19"/>
      <c r="C57" s="19"/>
      <c r="D57" s="19"/>
      <c r="E57" s="19"/>
      <c r="F57" s="19"/>
    </row>
    <row r="58" spans="1:6" ht="15">
      <c r="A58" s="18" t="s">
        <v>76</v>
      </c>
      <c r="B58" s="19"/>
      <c r="C58" s="19"/>
      <c r="D58" s="19"/>
      <c r="E58" s="19"/>
      <c r="F58" s="19"/>
    </row>
    <row r="59" spans="1:6">
      <c r="A59" s="19" t="s">
        <v>189</v>
      </c>
      <c r="B59" s="19">
        <v>1</v>
      </c>
      <c r="C59" s="19" t="s">
        <v>46</v>
      </c>
      <c r="D59" s="19"/>
      <c r="E59" s="19"/>
      <c r="F59" s="19"/>
    </row>
    <row r="60" spans="1:6">
      <c r="A60" s="19" t="s">
        <v>190</v>
      </c>
      <c r="B60" s="20">
        <f>0.253258845437616/1000</f>
        <v>2.5325884543761599E-4</v>
      </c>
      <c r="C60" s="19" t="s">
        <v>23</v>
      </c>
      <c r="D60" s="19"/>
      <c r="E60" s="19"/>
      <c r="F60" s="19" t="s">
        <v>104</v>
      </c>
    </row>
    <row r="61" spans="1:6">
      <c r="A61" s="19" t="s">
        <v>105</v>
      </c>
      <c r="B61" s="20">
        <v>0.2532588454376164</v>
      </c>
      <c r="C61" s="19" t="s">
        <v>14</v>
      </c>
      <c r="D61" s="19"/>
      <c r="E61" s="19"/>
      <c r="F61" s="19" t="s">
        <v>348</v>
      </c>
    </row>
    <row r="63" spans="1:6" ht="15">
      <c r="A63" s="15" t="s">
        <v>335</v>
      </c>
      <c r="B63" s="16"/>
      <c r="C63" s="16"/>
      <c r="D63" s="16"/>
      <c r="E63" s="16"/>
      <c r="F63" s="16"/>
    </row>
    <row r="64" spans="1:6" ht="15">
      <c r="A64" s="15" t="s">
        <v>44</v>
      </c>
      <c r="B64" s="16"/>
      <c r="C64" s="16"/>
      <c r="D64" s="16"/>
      <c r="E64" s="16"/>
      <c r="F64" s="16"/>
    </row>
    <row r="65" spans="1:6">
      <c r="A65" s="16" t="s">
        <v>64</v>
      </c>
      <c r="B65" s="17">
        <f>0.3*(B4+B67)</f>
        <v>3.5399999999999994E-2</v>
      </c>
      <c r="C65" s="16" t="s">
        <v>65</v>
      </c>
      <c r="D65" s="16"/>
      <c r="E65" s="16" t="s">
        <v>321</v>
      </c>
      <c r="F65" s="16" t="s">
        <v>68</v>
      </c>
    </row>
    <row r="66" spans="1:6">
      <c r="A66" s="16" t="s">
        <v>99</v>
      </c>
      <c r="B66" s="17">
        <v>2.2222222222222223E-5</v>
      </c>
      <c r="C66" s="16" t="s">
        <v>70</v>
      </c>
      <c r="D66" s="16"/>
      <c r="E66" s="16" t="s">
        <v>198</v>
      </c>
      <c r="F66" s="16" t="s">
        <v>72</v>
      </c>
    </row>
    <row r="67" spans="1:6">
      <c r="A67" s="16" t="s">
        <v>349</v>
      </c>
      <c r="B67" s="17">
        <f>(B4*(1-B5)-B4*0.2)/0.2</f>
        <v>1.7999999999999978E-2</v>
      </c>
      <c r="C67" s="16" t="s">
        <v>14</v>
      </c>
      <c r="D67" s="16" t="s">
        <v>200</v>
      </c>
      <c r="E67" s="16"/>
      <c r="F67" s="16" t="s">
        <v>201</v>
      </c>
    </row>
    <row r="68" spans="1:6">
      <c r="A68" s="16"/>
      <c r="B68" s="16"/>
      <c r="C68" s="16"/>
      <c r="D68" s="16"/>
      <c r="E68" s="16"/>
      <c r="F68" s="16"/>
    </row>
    <row r="69" spans="1:6" ht="15">
      <c r="A69" s="15" t="s">
        <v>61</v>
      </c>
      <c r="B69" s="16"/>
      <c r="C69" s="16"/>
      <c r="D69" s="16"/>
      <c r="E69" s="16"/>
      <c r="F69" s="16"/>
    </row>
    <row r="70" spans="1:6">
      <c r="A70" s="16" t="s">
        <v>350</v>
      </c>
      <c r="B70" s="16">
        <v>1</v>
      </c>
      <c r="C70" s="16" t="s">
        <v>46</v>
      </c>
      <c r="D70" s="16"/>
      <c r="E70" s="16"/>
      <c r="F70" s="16"/>
    </row>
    <row r="71" spans="1:6">
      <c r="A71" s="16" t="s">
        <v>203</v>
      </c>
      <c r="B71" s="17">
        <f>B4*(1-B5)*B7/(1-B10)</f>
        <v>5.5727731092436984E-2</v>
      </c>
      <c r="C71" s="16" t="s">
        <v>14</v>
      </c>
      <c r="D71" s="16"/>
      <c r="E71" s="16"/>
      <c r="F71" s="16"/>
    </row>
    <row r="72" spans="1:6">
      <c r="A72" s="16" t="s">
        <v>204</v>
      </c>
      <c r="B72" s="17">
        <f>(B4+B67)-(B71+B73+B74)</f>
        <v>6.1918268907562996E-2</v>
      </c>
      <c r="C72" s="16" t="s">
        <v>14</v>
      </c>
      <c r="D72" s="16"/>
      <c r="E72" s="16"/>
      <c r="F72" s="16"/>
    </row>
    <row r="73" spans="1:6">
      <c r="A73" s="16" t="s">
        <v>92</v>
      </c>
      <c r="B73" s="17">
        <f>B4*B9*(1-B5)*0.95</f>
        <v>3.3629999999999999E-4</v>
      </c>
      <c r="C73" s="16" t="s">
        <v>14</v>
      </c>
      <c r="D73" s="16"/>
      <c r="E73" s="16" t="s">
        <v>205</v>
      </c>
      <c r="F73" s="16"/>
    </row>
    <row r="74" spans="1:6">
      <c r="A74" s="16" t="s">
        <v>133</v>
      </c>
      <c r="B74" s="17">
        <f>B4*B9*(1-B5)*0.05</f>
        <v>1.77E-5</v>
      </c>
      <c r="C74" s="16" t="s">
        <v>14</v>
      </c>
      <c r="D74" s="16"/>
      <c r="E74" s="16"/>
      <c r="F74" s="16"/>
    </row>
    <row r="76" spans="1:6" ht="15">
      <c r="A76" s="12" t="s">
        <v>206</v>
      </c>
      <c r="B76" s="11"/>
      <c r="C76" s="11"/>
      <c r="D76" s="11"/>
      <c r="E76" s="11"/>
      <c r="F76" s="11"/>
    </row>
    <row r="77" spans="1:6" ht="15">
      <c r="A77" s="12" t="s">
        <v>44</v>
      </c>
      <c r="B77" s="11"/>
      <c r="C77" s="11"/>
      <c r="D77" s="11"/>
      <c r="E77" s="11"/>
      <c r="F77" s="11"/>
    </row>
    <row r="78" spans="1:6">
      <c r="A78" s="11" t="s">
        <v>64</v>
      </c>
      <c r="B78" s="14">
        <f>(B71 - (B71 * (1 - B10) / (1 - 0.1))) * (2260 / (0.7 * 3600))</f>
        <v>3.6761628325404243E-2</v>
      </c>
      <c r="C78" s="11" t="s">
        <v>65</v>
      </c>
      <c r="D78" s="11"/>
      <c r="E78" s="11" t="s">
        <v>207</v>
      </c>
      <c r="F78" s="11" t="s">
        <v>68</v>
      </c>
    </row>
    <row r="79" spans="1:6">
      <c r="A79" s="11" t="s">
        <v>208</v>
      </c>
      <c r="B79" s="14">
        <v>2.1367521367521368E-5</v>
      </c>
      <c r="C79" s="11" t="s">
        <v>14</v>
      </c>
      <c r="D79" s="11"/>
      <c r="E79" s="11" t="s">
        <v>209</v>
      </c>
      <c r="F79" s="11" t="s">
        <v>72</v>
      </c>
    </row>
    <row r="80" spans="1:6">
      <c r="A80" s="11"/>
      <c r="B80" s="11"/>
      <c r="C80" s="11"/>
      <c r="D80" s="11"/>
      <c r="E80" s="11"/>
      <c r="F80" s="11"/>
    </row>
    <row r="81" spans="1:6" ht="15">
      <c r="A81" s="12" t="s">
        <v>61</v>
      </c>
      <c r="B81" s="11"/>
      <c r="C81" s="11"/>
      <c r="D81" s="11"/>
      <c r="E81" s="11"/>
      <c r="F81" s="11"/>
    </row>
    <row r="82" spans="1:6">
      <c r="A82" s="11" t="s">
        <v>180</v>
      </c>
      <c r="B82" s="11">
        <v>1</v>
      </c>
      <c r="C82" s="11" t="s">
        <v>46</v>
      </c>
      <c r="D82" s="11"/>
      <c r="E82" s="11"/>
      <c r="F82" s="11"/>
    </row>
    <row r="83" spans="1:6">
      <c r="A83" s="11" t="s">
        <v>210</v>
      </c>
      <c r="B83" s="14">
        <f>(B71*(1-B10))/0.9</f>
        <v>1.473688888888889E-2</v>
      </c>
      <c r="C83" s="11" t="s">
        <v>14</v>
      </c>
      <c r="D83" s="11"/>
      <c r="E83" s="11"/>
      <c r="F83" s="11"/>
    </row>
    <row r="84" spans="1:6">
      <c r="A84" s="11" t="s">
        <v>212</v>
      </c>
      <c r="B84" s="14">
        <f>(B71-B83)/1000</f>
        <v>4.0990842203548098E-5</v>
      </c>
      <c r="C84" s="11" t="s">
        <v>23</v>
      </c>
      <c r="D84" s="11"/>
      <c r="E84" s="11" t="s">
        <v>322</v>
      </c>
      <c r="F84" s="11" t="s">
        <v>104</v>
      </c>
    </row>
    <row r="86" spans="1:6" ht="15">
      <c r="A86" s="21" t="s">
        <v>213</v>
      </c>
      <c r="B86" s="22"/>
      <c r="C86" s="22"/>
      <c r="D86" s="21" t="s">
        <v>167</v>
      </c>
      <c r="E86" s="22"/>
      <c r="F86" s="22"/>
    </row>
    <row r="87" spans="1:6" ht="15">
      <c r="A87" s="21" t="s">
        <v>44</v>
      </c>
      <c r="B87" s="22"/>
      <c r="C87" s="22"/>
      <c r="D87" s="22"/>
      <c r="E87" s="22"/>
      <c r="F87" s="22"/>
    </row>
    <row r="88" spans="1:6">
      <c r="A88" s="22" t="s">
        <v>85</v>
      </c>
      <c r="B88" s="22">
        <v>5.2249999999999996E-3</v>
      </c>
      <c r="C88" s="22" t="s">
        <v>86</v>
      </c>
      <c r="D88" s="22"/>
      <c r="E88" s="22"/>
      <c r="F88" s="22" t="s">
        <v>68</v>
      </c>
    </row>
    <row r="89" spans="1:6">
      <c r="A89" s="22" t="s">
        <v>214</v>
      </c>
      <c r="B89" s="22">
        <v>9.3749999999999997E-3</v>
      </c>
      <c r="C89" s="22" t="s">
        <v>14</v>
      </c>
      <c r="D89" s="22"/>
      <c r="E89" s="22"/>
      <c r="F89" s="22" t="s">
        <v>215</v>
      </c>
    </row>
    <row r="90" spans="1:6">
      <c r="A90" s="22" t="s">
        <v>216</v>
      </c>
      <c r="B90" s="23">
        <v>6.9499999999999998E-10</v>
      </c>
      <c r="C90" s="22" t="s">
        <v>46</v>
      </c>
      <c r="D90" s="22"/>
      <c r="E90" s="22"/>
      <c r="F90" s="22" t="s">
        <v>217</v>
      </c>
    </row>
    <row r="91" spans="1:6">
      <c r="A91" s="22"/>
      <c r="B91" s="23"/>
      <c r="C91" s="22"/>
      <c r="D91" s="22"/>
      <c r="E91" s="22"/>
      <c r="F91" s="22"/>
    </row>
    <row r="92" spans="1:6" ht="15">
      <c r="A92" s="21" t="s">
        <v>61</v>
      </c>
      <c r="B92" s="22"/>
      <c r="C92" s="22"/>
      <c r="D92" s="22"/>
      <c r="E92" s="22"/>
      <c r="F92" s="22"/>
    </row>
    <row r="93" spans="1:6">
      <c r="A93" s="22" t="s">
        <v>218</v>
      </c>
      <c r="B93" s="22">
        <v>1</v>
      </c>
      <c r="C93" s="22" t="s">
        <v>46</v>
      </c>
      <c r="D93" s="22"/>
      <c r="E93" s="22"/>
      <c r="F93" s="22"/>
    </row>
    <row r="94" spans="1:6">
      <c r="A94" s="22" t="s">
        <v>219</v>
      </c>
      <c r="B94" s="22">
        <v>0</v>
      </c>
      <c r="C94" s="22" t="s">
        <v>50</v>
      </c>
      <c r="D94" s="22"/>
      <c r="E94" s="22" t="s">
        <v>220</v>
      </c>
      <c r="F94" s="22"/>
    </row>
    <row r="95" spans="1:6">
      <c r="A95" s="22" t="s">
        <v>221</v>
      </c>
      <c r="B95" s="22">
        <v>3.6250000000000002E-3</v>
      </c>
      <c r="C95" s="22" t="s">
        <v>14</v>
      </c>
      <c r="D95" s="22"/>
      <c r="E95" s="22"/>
      <c r="F95" s="22" t="s">
        <v>223</v>
      </c>
    </row>
    <row r="96" spans="1:6">
      <c r="A96" s="22" t="s">
        <v>224</v>
      </c>
      <c r="B96" s="23">
        <v>6.2500000000000005E-7</v>
      </c>
      <c r="C96" s="22" t="s">
        <v>14</v>
      </c>
      <c r="D96" s="22"/>
      <c r="E96" s="22"/>
      <c r="F96" s="22"/>
    </row>
    <row r="97" spans="1:6">
      <c r="A97" s="22" t="s">
        <v>226</v>
      </c>
      <c r="B97" s="23">
        <v>1.3375E-5</v>
      </c>
      <c r="C97" s="22" t="s">
        <v>14</v>
      </c>
      <c r="D97" s="22"/>
      <c r="E97" s="22"/>
      <c r="F97" s="22"/>
    </row>
    <row r="98" spans="1:6">
      <c r="A98" s="22" t="s">
        <v>227</v>
      </c>
      <c r="B98" s="23">
        <v>1.9749999999999999E-9</v>
      </c>
      <c r="C98" s="22" t="s">
        <v>14</v>
      </c>
      <c r="D98" s="22"/>
      <c r="E98" s="22"/>
      <c r="F98" s="22"/>
    </row>
    <row r="99" spans="1:6">
      <c r="A99" s="22" t="s">
        <v>228</v>
      </c>
      <c r="B99" s="23">
        <v>1.575E-7</v>
      </c>
      <c r="C99" s="22" t="s">
        <v>14</v>
      </c>
      <c r="D99" s="22"/>
      <c r="E99" s="22"/>
      <c r="F99" s="22"/>
    </row>
    <row r="100" spans="1:6">
      <c r="A100" s="22" t="s">
        <v>229</v>
      </c>
      <c r="B100" s="23">
        <v>1.575E-9</v>
      </c>
      <c r="C100" s="22" t="s">
        <v>14</v>
      </c>
      <c r="D100" s="22"/>
      <c r="E100" s="22"/>
      <c r="F100" s="22"/>
    </row>
    <row r="101" spans="1:6">
      <c r="A101" s="22" t="s">
        <v>230</v>
      </c>
      <c r="B101" s="23">
        <v>5.9250000000000004E-7</v>
      </c>
      <c r="C101" s="22" t="s">
        <v>14</v>
      </c>
      <c r="D101" s="22"/>
      <c r="E101" s="22"/>
      <c r="F101" s="22"/>
    </row>
    <row r="102" spans="1:6">
      <c r="A102" s="22" t="s">
        <v>231</v>
      </c>
      <c r="B102" s="23">
        <v>1.185E-8</v>
      </c>
      <c r="C102" s="22" t="s">
        <v>14</v>
      </c>
      <c r="D102" s="22"/>
      <c r="E102" s="22"/>
      <c r="F102" s="22"/>
    </row>
    <row r="103" spans="1:6">
      <c r="A103" s="22" t="s">
        <v>232</v>
      </c>
      <c r="B103" s="23">
        <v>1.9749999999999999E-9</v>
      </c>
      <c r="C103" s="22" t="s">
        <v>14</v>
      </c>
      <c r="D103" s="22"/>
      <c r="E103" s="22"/>
      <c r="F103" s="22"/>
    </row>
    <row r="104" spans="1:6">
      <c r="A104" s="22" t="s">
        <v>233</v>
      </c>
      <c r="B104" s="23">
        <v>1.575E-6</v>
      </c>
      <c r="C104" s="22" t="s">
        <v>14</v>
      </c>
      <c r="D104" s="22"/>
      <c r="E104" s="22"/>
      <c r="F104" s="22"/>
    </row>
    <row r="105" spans="1:6">
      <c r="A105" s="22" t="s">
        <v>92</v>
      </c>
      <c r="B105" s="22">
        <v>0.114375</v>
      </c>
      <c r="C105" s="22" t="s">
        <v>14</v>
      </c>
      <c r="D105" s="22"/>
      <c r="E105" s="22"/>
      <c r="F105" s="22"/>
    </row>
    <row r="106" spans="1:6">
      <c r="A106" s="22" t="s">
        <v>133</v>
      </c>
      <c r="B106" s="23">
        <v>1.25E-4</v>
      </c>
      <c r="C106" s="22" t="s">
        <v>14</v>
      </c>
      <c r="D106" s="22"/>
      <c r="E106" s="22"/>
      <c r="F106" s="22"/>
    </row>
    <row r="107" spans="1:6">
      <c r="A107" s="22" t="s">
        <v>234</v>
      </c>
      <c r="B107" s="23">
        <v>2.8124999999999999E-8</v>
      </c>
      <c r="C107" s="22" t="s">
        <v>14</v>
      </c>
      <c r="D107" s="22"/>
      <c r="E107" s="22"/>
      <c r="F107" s="22"/>
    </row>
    <row r="108" spans="1:6">
      <c r="A108" s="22" t="s">
        <v>235</v>
      </c>
      <c r="B108" s="23">
        <v>3.4750000000000001E-9</v>
      </c>
      <c r="C108" s="22" t="s">
        <v>14</v>
      </c>
      <c r="D108" s="22"/>
      <c r="E108" s="22"/>
      <c r="F108" s="22"/>
    </row>
    <row r="109" spans="1:6">
      <c r="A109" s="22" t="s">
        <v>236</v>
      </c>
      <c r="B109" s="23">
        <v>3.9499999999999998E-9</v>
      </c>
      <c r="C109" s="22" t="s">
        <v>14</v>
      </c>
      <c r="D109" s="22"/>
      <c r="E109" s="22"/>
      <c r="F109" s="22"/>
    </row>
    <row r="110" spans="1:6">
      <c r="A110" s="22" t="s">
        <v>237</v>
      </c>
      <c r="B110" s="23">
        <v>2.0750000000000001E-8</v>
      </c>
      <c r="C110" s="22" t="s">
        <v>14</v>
      </c>
      <c r="D110" s="22"/>
      <c r="E110" s="22"/>
      <c r="F110" s="22"/>
    </row>
    <row r="111" spans="1:6">
      <c r="A111" s="22" t="s">
        <v>93</v>
      </c>
      <c r="B111" s="23">
        <v>1.2500000000000001E-6</v>
      </c>
      <c r="C111" s="22" t="s">
        <v>14</v>
      </c>
      <c r="D111" s="22"/>
      <c r="E111" s="22"/>
      <c r="F111" s="22"/>
    </row>
    <row r="112" spans="1:6">
      <c r="A112" s="22" t="s">
        <v>134</v>
      </c>
      <c r="B112" s="23">
        <v>2.5000000000000001E-14</v>
      </c>
      <c r="C112" s="22" t="s">
        <v>14</v>
      </c>
      <c r="D112" s="22"/>
      <c r="E112" s="22"/>
      <c r="F112" s="22"/>
    </row>
    <row r="113" spans="1:6">
      <c r="A113" s="22" t="s">
        <v>135</v>
      </c>
      <c r="B113" s="23">
        <v>9.9999999999999995E-8</v>
      </c>
      <c r="C113" s="22" t="s">
        <v>14</v>
      </c>
      <c r="D113" s="22"/>
      <c r="E113" s="22"/>
      <c r="F113" s="22"/>
    </row>
    <row r="114" spans="1:6">
      <c r="A114" s="22" t="s">
        <v>238</v>
      </c>
      <c r="B114" s="23">
        <v>6.2500000000000005E-7</v>
      </c>
      <c r="C114" s="22" t="s">
        <v>14</v>
      </c>
      <c r="D114" s="22"/>
      <c r="E114" s="22"/>
      <c r="F114" s="22"/>
    </row>
    <row r="115" spans="1:6">
      <c r="A115" s="22" t="s">
        <v>239</v>
      </c>
      <c r="B115" s="23">
        <v>6.2500000000000005E-7</v>
      </c>
      <c r="C115" s="22" t="s">
        <v>14</v>
      </c>
      <c r="D115" s="22"/>
      <c r="E115" s="22"/>
      <c r="F115" s="22"/>
    </row>
    <row r="116" spans="1:6">
      <c r="A116" s="22" t="s">
        <v>240</v>
      </c>
      <c r="B116" s="23">
        <v>5.0624999999999997E-5</v>
      </c>
      <c r="C116" s="22" t="s">
        <v>14</v>
      </c>
      <c r="D116" s="22"/>
      <c r="E116" s="22"/>
      <c r="F116" s="22"/>
    </row>
    <row r="117" spans="1:6">
      <c r="A117" s="22" t="s">
        <v>241</v>
      </c>
      <c r="B117" s="23">
        <v>1.575E-6</v>
      </c>
      <c r="C117" s="22" t="s">
        <v>14</v>
      </c>
      <c r="D117" s="22"/>
      <c r="E117" s="22"/>
      <c r="F117" s="22"/>
    </row>
    <row r="118" spans="1:6">
      <c r="A118" s="22" t="s">
        <v>242</v>
      </c>
      <c r="B118" s="23">
        <v>1.425E-8</v>
      </c>
      <c r="C118" s="22" t="s">
        <v>14</v>
      </c>
      <c r="D118" s="22"/>
      <c r="E118" s="22"/>
      <c r="F118" s="22"/>
    </row>
    <row r="119" spans="1:6">
      <c r="A119" s="22" t="s">
        <v>243</v>
      </c>
      <c r="B119" s="23">
        <v>5.5249999999999996E-6</v>
      </c>
      <c r="C119" s="22" t="s">
        <v>14</v>
      </c>
      <c r="D119" s="22"/>
      <c r="E119" s="22"/>
      <c r="F119" s="22"/>
    </row>
    <row r="120" spans="1:6">
      <c r="A120" s="22" t="s">
        <v>244</v>
      </c>
      <c r="B120" s="23">
        <v>4.7375E-6</v>
      </c>
      <c r="C120" s="22" t="s">
        <v>14</v>
      </c>
      <c r="D120" s="22"/>
      <c r="E120" s="22"/>
      <c r="F120" s="22"/>
    </row>
    <row r="121" spans="1:6">
      <c r="A121" s="22" t="s">
        <v>245</v>
      </c>
      <c r="B121" s="23">
        <v>2.7625000000000001E-8</v>
      </c>
      <c r="C121" s="22" t="s">
        <v>14</v>
      </c>
      <c r="D121" s="22"/>
      <c r="E121" s="22"/>
      <c r="F121" s="22"/>
    </row>
    <row r="122" spans="1:6">
      <c r="A122" s="22" t="s">
        <v>95</v>
      </c>
      <c r="B122" s="23">
        <v>1.2500000000000001E-5</v>
      </c>
      <c r="C122" s="22" t="s">
        <v>14</v>
      </c>
      <c r="D122" s="22"/>
      <c r="E122" s="22"/>
      <c r="F122" s="22"/>
    </row>
    <row r="123" spans="1:6">
      <c r="A123" s="22" t="s">
        <v>246</v>
      </c>
      <c r="B123" s="23">
        <v>5.9250000000000001E-9</v>
      </c>
      <c r="C123" s="22" t="s">
        <v>14</v>
      </c>
      <c r="D123" s="22"/>
      <c r="E123" s="22"/>
      <c r="F123" s="22"/>
    </row>
    <row r="124" spans="1:6">
      <c r="A124" s="22" t="s">
        <v>247</v>
      </c>
      <c r="B124" s="23">
        <v>2.3750000000000001E-8</v>
      </c>
      <c r="C124" s="22" t="s">
        <v>14</v>
      </c>
      <c r="D124" s="22"/>
      <c r="E124" s="22"/>
      <c r="F124" s="22"/>
    </row>
    <row r="125" spans="1:6">
      <c r="A125" s="22" t="s">
        <v>139</v>
      </c>
      <c r="B125" s="23">
        <v>2.5000000000000001E-4</v>
      </c>
      <c r="C125" s="22" t="s">
        <v>14</v>
      </c>
      <c r="D125" s="22"/>
      <c r="E125" s="22"/>
      <c r="F125" s="22"/>
    </row>
    <row r="126" spans="1:6">
      <c r="A126" s="22" t="s">
        <v>141</v>
      </c>
      <c r="B126" s="23">
        <v>2.5000000000000001E-5</v>
      </c>
      <c r="C126" s="22" t="s">
        <v>14</v>
      </c>
      <c r="D126" s="22"/>
      <c r="E126" s="22"/>
      <c r="F126" s="22"/>
    </row>
    <row r="127" spans="1:6">
      <c r="A127" s="22" t="s">
        <v>248</v>
      </c>
      <c r="B127" s="23">
        <v>1.2500000000000001E-5</v>
      </c>
      <c r="C127" s="22" t="s">
        <v>14</v>
      </c>
      <c r="D127" s="22"/>
      <c r="E127" s="22"/>
      <c r="F127" s="22"/>
    </row>
    <row r="128" spans="1:6">
      <c r="A128" s="22" t="s">
        <v>249</v>
      </c>
      <c r="B128" s="23">
        <v>2.5000000000000001E-5</v>
      </c>
      <c r="C128" s="22" t="s">
        <v>14</v>
      </c>
      <c r="D128" s="22"/>
      <c r="E128" s="22"/>
      <c r="F128" s="22"/>
    </row>
    <row r="129" spans="1:6">
      <c r="A129" s="22" t="s">
        <v>250</v>
      </c>
      <c r="B129" s="23">
        <v>7.9000000000000006E-8</v>
      </c>
      <c r="C129" s="22" t="s">
        <v>14</v>
      </c>
      <c r="D129" s="22"/>
      <c r="E129" s="22"/>
      <c r="F129" s="22"/>
    </row>
    <row r="130" spans="1:6">
      <c r="A130" s="22" t="s">
        <v>251</v>
      </c>
      <c r="B130" s="23">
        <v>1.575E-6</v>
      </c>
      <c r="C130" s="22" t="s">
        <v>14</v>
      </c>
      <c r="D130" s="22"/>
      <c r="E130" s="22"/>
      <c r="F130" s="22"/>
    </row>
    <row r="131" spans="1:6">
      <c r="A131" s="22" t="s">
        <v>252</v>
      </c>
      <c r="B131" s="23">
        <v>1.6875E-5</v>
      </c>
      <c r="C131" s="22" t="s">
        <v>253</v>
      </c>
      <c r="D131" s="22"/>
      <c r="E131" s="22"/>
      <c r="F131" s="22"/>
    </row>
    <row r="132" spans="1:6">
      <c r="A132" s="22" t="s">
        <v>254</v>
      </c>
      <c r="B132" s="23">
        <v>1.575E-9</v>
      </c>
      <c r="C132" s="22" t="s">
        <v>14</v>
      </c>
      <c r="D132" s="22"/>
      <c r="E132" s="22"/>
      <c r="F132" s="22"/>
    </row>
    <row r="133" spans="1:6">
      <c r="A133" s="22" t="s">
        <v>255</v>
      </c>
      <c r="B133" s="23">
        <v>1.185E-8</v>
      </c>
      <c r="C133" s="22" t="s">
        <v>14</v>
      </c>
      <c r="D133" s="22"/>
      <c r="E133" s="22"/>
      <c r="F133" s="22"/>
    </row>
    <row r="134" spans="1:6">
      <c r="A134" s="22" t="s">
        <v>256</v>
      </c>
      <c r="B134" s="23">
        <v>1.9749999999999999E-5</v>
      </c>
      <c r="C134" s="22" t="s">
        <v>14</v>
      </c>
      <c r="D134" s="22"/>
      <c r="E134" s="22"/>
      <c r="F134" s="22"/>
    </row>
    <row r="135" spans="1:6">
      <c r="A135" s="22" t="s">
        <v>257</v>
      </c>
      <c r="B135" s="23">
        <v>7.8999999999999995E-7</v>
      </c>
      <c r="C135" s="22" t="s">
        <v>14</v>
      </c>
      <c r="D135" s="22"/>
      <c r="E135" s="22"/>
      <c r="F135" s="22"/>
    </row>
    <row r="136" spans="1:6">
      <c r="A136" s="22" t="s">
        <v>258</v>
      </c>
      <c r="B136" s="23">
        <v>2.375E-7</v>
      </c>
      <c r="C136" s="22" t="s">
        <v>14</v>
      </c>
      <c r="D136" s="22"/>
      <c r="E136" s="22"/>
      <c r="F136" s="22"/>
    </row>
    <row r="137" spans="1:6">
      <c r="A137" s="38" t="s">
        <v>120</v>
      </c>
      <c r="B137" s="51">
        <v>0</v>
      </c>
      <c r="C137" s="38" t="s">
        <v>14</v>
      </c>
      <c r="D137" s="22"/>
      <c r="E137" s="22"/>
      <c r="F137" s="22"/>
    </row>
    <row r="138" spans="1:6">
      <c r="A138" s="22" t="s">
        <v>259</v>
      </c>
      <c r="B138" s="23">
        <v>1.9749999999999999E-9</v>
      </c>
      <c r="C138" s="22" t="s">
        <v>14</v>
      </c>
      <c r="D138" s="22"/>
      <c r="E138" s="22"/>
      <c r="F138" s="22"/>
    </row>
    <row r="139" spans="1:6">
      <c r="A139" s="22" t="s">
        <v>260</v>
      </c>
      <c r="B139" s="23">
        <v>7.8999999999999996E-10</v>
      </c>
      <c r="C139" s="22" t="s">
        <v>14</v>
      </c>
      <c r="D139" s="22"/>
      <c r="E139" s="22"/>
      <c r="F139" s="22"/>
    </row>
    <row r="140" spans="1:6">
      <c r="A140" s="22" t="s">
        <v>261</v>
      </c>
      <c r="B140" s="23">
        <v>4.7375000000000002E-7</v>
      </c>
      <c r="C140" s="22" t="s">
        <v>14</v>
      </c>
      <c r="D140" s="22"/>
      <c r="E140" s="22"/>
      <c r="F140" s="22"/>
    </row>
    <row r="141" spans="1:6">
      <c r="A141" s="22" t="s">
        <v>262</v>
      </c>
      <c r="B141" s="23">
        <v>4.7374999999999999E-8</v>
      </c>
      <c r="C141" s="22" t="s">
        <v>14</v>
      </c>
      <c r="D141" s="22"/>
      <c r="E141" s="22"/>
      <c r="F141" s="22"/>
    </row>
    <row r="142" spans="1:6">
      <c r="A142" s="22" t="s">
        <v>263</v>
      </c>
      <c r="B142" s="23">
        <v>1.125E-6</v>
      </c>
      <c r="C142" s="22" t="s">
        <v>23</v>
      </c>
      <c r="D142" s="22"/>
      <c r="E142" s="22"/>
      <c r="F142" s="22"/>
    </row>
    <row r="143" spans="1:6">
      <c r="A143" s="22" t="s">
        <v>263</v>
      </c>
      <c r="B143" s="23">
        <v>6.3749999999999999E-6</v>
      </c>
      <c r="C143" s="22" t="s">
        <v>23</v>
      </c>
      <c r="D143" s="22"/>
      <c r="E143" s="22"/>
      <c r="F143" s="22"/>
    </row>
    <row r="144" spans="1:6">
      <c r="A144" s="22" t="s">
        <v>264</v>
      </c>
      <c r="B144" s="23">
        <v>3.9499999999999998E-9</v>
      </c>
      <c r="C144" s="22" t="s">
        <v>14</v>
      </c>
      <c r="D144" s="22"/>
      <c r="E144" s="22"/>
      <c r="F144" s="22"/>
    </row>
    <row r="145" spans="1:6">
      <c r="A145" s="22" t="s">
        <v>265</v>
      </c>
      <c r="B145" s="23">
        <v>2.1500000000000002E-6</v>
      </c>
      <c r="C145" s="22" t="s">
        <v>14</v>
      </c>
      <c r="D145" s="22"/>
      <c r="E145" s="22"/>
      <c r="F145" s="22"/>
    </row>
    <row r="146" spans="1:6">
      <c r="A146" s="22" t="s">
        <v>266</v>
      </c>
      <c r="B146" s="23">
        <v>1.875E-6</v>
      </c>
      <c r="C146" s="22" t="s">
        <v>14</v>
      </c>
      <c r="D146" s="22"/>
      <c r="E146" s="22"/>
      <c r="F146" s="22"/>
    </row>
    <row r="147" spans="1:6">
      <c r="A147" s="22" t="s">
        <v>267</v>
      </c>
      <c r="B147" s="23">
        <v>3.7500000000000001E-6</v>
      </c>
      <c r="C147" s="22" t="s">
        <v>14</v>
      </c>
      <c r="D147" s="22"/>
      <c r="E147" s="22"/>
      <c r="F147" s="22"/>
    </row>
    <row r="148" spans="1:6">
      <c r="A148" s="22" t="s">
        <v>143</v>
      </c>
      <c r="B148" s="23">
        <v>1.2500000000000001E-6</v>
      </c>
      <c r="C148" s="22" t="s">
        <v>14</v>
      </c>
      <c r="D148" s="22"/>
      <c r="E148" s="22"/>
      <c r="F148" s="22"/>
    </row>
    <row r="149" spans="1:6">
      <c r="A149" s="22" t="s">
        <v>268</v>
      </c>
      <c r="B149" s="23">
        <v>6.2500000000000005E-7</v>
      </c>
      <c r="C149" s="22" t="s">
        <v>14</v>
      </c>
      <c r="D149" s="22"/>
      <c r="E149" s="22"/>
      <c r="F149" s="22"/>
    </row>
    <row r="150" spans="1:6">
      <c r="B150" s="3"/>
    </row>
    <row r="151" spans="1:6" ht="15">
      <c r="A151" s="15" t="s">
        <v>269</v>
      </c>
      <c r="B151" s="16"/>
      <c r="C151" s="16"/>
      <c r="D151" s="16"/>
      <c r="E151" s="16"/>
      <c r="F151" s="16"/>
    </row>
    <row r="152" spans="1:6" ht="15">
      <c r="A152" s="15" t="s">
        <v>44</v>
      </c>
      <c r="B152" s="16"/>
      <c r="C152" s="16"/>
      <c r="D152" s="16"/>
      <c r="E152" s="16"/>
      <c r="F152" s="16"/>
    </row>
    <row r="153" spans="1:6">
      <c r="A153" s="16" t="s">
        <v>85</v>
      </c>
      <c r="B153" s="16">
        <v>5.2249999999999996E-3</v>
      </c>
      <c r="C153" s="16" t="s">
        <v>86</v>
      </c>
      <c r="D153" s="16"/>
      <c r="E153" s="16"/>
      <c r="F153" s="16" t="s">
        <v>68</v>
      </c>
    </row>
    <row r="154" spans="1:6">
      <c r="A154" s="16" t="s">
        <v>270</v>
      </c>
      <c r="B154" s="16">
        <v>4.3249999999999997E-2</v>
      </c>
      <c r="C154" s="16" t="s">
        <v>14</v>
      </c>
      <c r="D154" s="16"/>
      <c r="E154" s="16"/>
      <c r="F154" s="16" t="s">
        <v>271</v>
      </c>
    </row>
    <row r="155" spans="1:6">
      <c r="A155" s="16" t="s">
        <v>216</v>
      </c>
      <c r="B155" s="17">
        <v>6.9499999999999998E-10</v>
      </c>
      <c r="C155" s="16" t="s">
        <v>46</v>
      </c>
      <c r="D155" s="16"/>
      <c r="E155" s="16"/>
      <c r="F155" s="16" t="s">
        <v>217</v>
      </c>
    </row>
    <row r="156" spans="1:6">
      <c r="A156" s="16" t="s">
        <v>214</v>
      </c>
      <c r="B156" s="16">
        <v>9.3749999999999997E-3</v>
      </c>
      <c r="C156" s="16" t="s">
        <v>14</v>
      </c>
      <c r="D156" s="16"/>
      <c r="E156" s="16"/>
      <c r="F156" s="16" t="s">
        <v>215</v>
      </c>
    </row>
    <row r="157" spans="1:6">
      <c r="A157" s="16"/>
      <c r="B157" s="16"/>
      <c r="C157" s="16"/>
      <c r="D157" s="16"/>
      <c r="E157" s="16"/>
      <c r="F157" s="16"/>
    </row>
    <row r="158" spans="1:6" ht="15">
      <c r="A158" s="15" t="s">
        <v>61</v>
      </c>
      <c r="B158" s="16"/>
      <c r="C158" s="16"/>
      <c r="D158" s="16"/>
      <c r="E158" s="16"/>
      <c r="F158" s="16"/>
    </row>
    <row r="159" spans="1:6">
      <c r="A159" s="16" t="s">
        <v>219</v>
      </c>
      <c r="B159" s="16">
        <v>1</v>
      </c>
      <c r="C159" s="16" t="s">
        <v>50</v>
      </c>
      <c r="D159" s="16"/>
      <c r="E159" s="16"/>
      <c r="F159" s="16"/>
    </row>
    <row r="160" spans="1:6">
      <c r="A160" s="16" t="s">
        <v>221</v>
      </c>
      <c r="B160" s="16">
        <v>3.6250000000000002E-3</v>
      </c>
      <c r="C160" s="16" t="s">
        <v>14</v>
      </c>
      <c r="D160" s="16"/>
      <c r="E160" s="16"/>
      <c r="F160" s="16" t="s">
        <v>223</v>
      </c>
    </row>
    <row r="161" spans="1:6">
      <c r="A161" s="16" t="s">
        <v>224</v>
      </c>
      <c r="B161" s="17">
        <v>6.2500000000000005E-7</v>
      </c>
      <c r="C161" s="16" t="s">
        <v>14</v>
      </c>
      <c r="D161" s="16"/>
      <c r="E161" s="16"/>
      <c r="F161" s="16"/>
    </row>
    <row r="162" spans="1:6">
      <c r="A162" s="16" t="s">
        <v>226</v>
      </c>
      <c r="B162" s="17">
        <v>1.3375E-5</v>
      </c>
      <c r="C162" s="16" t="s">
        <v>14</v>
      </c>
      <c r="D162" s="16"/>
      <c r="E162" s="16"/>
      <c r="F162" s="16"/>
    </row>
    <row r="163" spans="1:6">
      <c r="A163" s="16" t="s">
        <v>227</v>
      </c>
      <c r="B163" s="17">
        <v>1.9749999999999999E-9</v>
      </c>
      <c r="C163" s="16" t="s">
        <v>14</v>
      </c>
      <c r="D163" s="16"/>
      <c r="E163" s="16"/>
      <c r="F163" s="16"/>
    </row>
    <row r="164" spans="1:6">
      <c r="A164" s="16" t="s">
        <v>272</v>
      </c>
      <c r="B164" s="17">
        <v>3.1625E-8</v>
      </c>
      <c r="C164" s="16" t="s">
        <v>14</v>
      </c>
      <c r="D164" s="16"/>
      <c r="E164" s="16"/>
      <c r="F164" s="16"/>
    </row>
    <row r="165" spans="1:6">
      <c r="A165" s="16" t="s">
        <v>228</v>
      </c>
      <c r="B165" s="17">
        <v>1.575E-7</v>
      </c>
      <c r="C165" s="16" t="s">
        <v>14</v>
      </c>
      <c r="D165" s="16"/>
      <c r="E165" s="16"/>
      <c r="F165" s="16"/>
    </row>
    <row r="166" spans="1:6">
      <c r="A166" s="16" t="s">
        <v>130</v>
      </c>
      <c r="B166" s="17">
        <v>6.2500000000000005E-7</v>
      </c>
      <c r="C166" s="16" t="s">
        <v>14</v>
      </c>
      <c r="D166" s="16"/>
      <c r="E166" s="16"/>
      <c r="F166" s="16"/>
    </row>
    <row r="167" spans="1:6">
      <c r="A167" s="16" t="s">
        <v>131</v>
      </c>
      <c r="B167" s="17">
        <v>1.25E-11</v>
      </c>
      <c r="C167" s="16" t="s">
        <v>14</v>
      </c>
      <c r="D167" s="16"/>
      <c r="E167" s="16"/>
      <c r="F167" s="16"/>
    </row>
    <row r="168" spans="1:6">
      <c r="A168" s="16" t="s">
        <v>229</v>
      </c>
      <c r="B168" s="17">
        <v>1.575E-9</v>
      </c>
      <c r="C168" s="16" t="s">
        <v>14</v>
      </c>
      <c r="D168" s="16"/>
      <c r="E168" s="16"/>
      <c r="F168" s="16"/>
    </row>
    <row r="169" spans="1:6">
      <c r="A169" s="16" t="s">
        <v>230</v>
      </c>
      <c r="B169" s="17">
        <v>5.9250000000000004E-7</v>
      </c>
      <c r="C169" s="16" t="s">
        <v>14</v>
      </c>
      <c r="D169" s="16"/>
      <c r="E169" s="16"/>
      <c r="F169" s="16"/>
    </row>
    <row r="170" spans="1:6">
      <c r="A170" s="16" t="s">
        <v>231</v>
      </c>
      <c r="B170" s="17">
        <v>1.185E-8</v>
      </c>
      <c r="C170" s="16" t="s">
        <v>14</v>
      </c>
      <c r="D170" s="16"/>
      <c r="E170" s="16"/>
      <c r="F170" s="16"/>
    </row>
    <row r="171" spans="1:6">
      <c r="A171" s="16" t="s">
        <v>232</v>
      </c>
      <c r="B171" s="17">
        <v>1.9749999999999999E-9</v>
      </c>
      <c r="C171" s="16" t="s">
        <v>14</v>
      </c>
      <c r="D171" s="16"/>
      <c r="E171" s="16"/>
      <c r="F171" s="16"/>
    </row>
    <row r="172" spans="1:6">
      <c r="A172" s="16" t="s">
        <v>233</v>
      </c>
      <c r="B172" s="17">
        <v>1.575E-6</v>
      </c>
      <c r="C172" s="16" t="s">
        <v>14</v>
      </c>
      <c r="D172" s="16"/>
      <c r="E172" s="16"/>
      <c r="F172" s="16"/>
    </row>
    <row r="173" spans="1:6">
      <c r="A173" s="16" t="s">
        <v>153</v>
      </c>
      <c r="B173" s="16">
        <v>0.114375</v>
      </c>
      <c r="C173" s="16" t="s">
        <v>14</v>
      </c>
      <c r="D173" s="16"/>
      <c r="E173" s="16"/>
      <c r="F173" s="16"/>
    </row>
    <row r="174" spans="1:6">
      <c r="A174" s="16" t="s">
        <v>154</v>
      </c>
      <c r="B174" s="17">
        <v>1.25E-4</v>
      </c>
      <c r="C174" s="16" t="s">
        <v>14</v>
      </c>
      <c r="D174" s="16"/>
      <c r="E174" s="16"/>
      <c r="F174" s="16"/>
    </row>
    <row r="175" spans="1:6">
      <c r="A175" s="16" t="s">
        <v>234</v>
      </c>
      <c r="B175" s="17">
        <v>2.8124999999999999E-8</v>
      </c>
      <c r="C175" s="16" t="s">
        <v>14</v>
      </c>
      <c r="D175" s="16"/>
      <c r="E175" s="16"/>
      <c r="F175" s="16"/>
    </row>
    <row r="176" spans="1:6">
      <c r="A176" s="16" t="s">
        <v>235</v>
      </c>
      <c r="B176" s="17">
        <v>3.4750000000000001E-9</v>
      </c>
      <c r="C176" s="16" t="s">
        <v>14</v>
      </c>
      <c r="D176" s="16"/>
      <c r="E176" s="16"/>
      <c r="F176" s="16"/>
    </row>
    <row r="177" spans="1:6">
      <c r="A177" s="16" t="s">
        <v>236</v>
      </c>
      <c r="B177" s="17">
        <v>3.9499999999999998E-9</v>
      </c>
      <c r="C177" s="16" t="s">
        <v>14</v>
      </c>
      <c r="D177" s="16"/>
      <c r="E177" s="16"/>
      <c r="F177" s="16"/>
    </row>
    <row r="178" spans="1:6">
      <c r="A178" s="16" t="s">
        <v>237</v>
      </c>
      <c r="B178" s="17">
        <v>2.0750000000000001E-8</v>
      </c>
      <c r="C178" s="16" t="s">
        <v>14</v>
      </c>
      <c r="D178" s="16"/>
      <c r="E178" s="16"/>
      <c r="F178" s="16"/>
    </row>
    <row r="179" spans="1:6">
      <c r="A179" s="16" t="s">
        <v>93</v>
      </c>
      <c r="B179" s="17">
        <v>1.2500000000000001E-6</v>
      </c>
      <c r="C179" s="16" t="s">
        <v>14</v>
      </c>
      <c r="D179" s="16"/>
      <c r="E179" s="16"/>
      <c r="F179" s="16"/>
    </row>
    <row r="180" spans="1:6">
      <c r="A180" s="16" t="s">
        <v>134</v>
      </c>
      <c r="B180" s="17">
        <v>2.5000000000000001E-14</v>
      </c>
      <c r="C180" s="16" t="s">
        <v>14</v>
      </c>
      <c r="D180" s="16"/>
      <c r="E180" s="16"/>
      <c r="F180" s="16"/>
    </row>
    <row r="181" spans="1:6">
      <c r="A181" s="16" t="s">
        <v>266</v>
      </c>
      <c r="B181" s="17">
        <v>1.875E-6</v>
      </c>
      <c r="C181" s="16" t="s">
        <v>14</v>
      </c>
      <c r="D181" s="16"/>
      <c r="E181" s="16"/>
      <c r="F181" s="16"/>
    </row>
    <row r="182" spans="1:6">
      <c r="A182" s="16" t="s">
        <v>267</v>
      </c>
      <c r="B182" s="17">
        <v>3.7500000000000001E-6</v>
      </c>
      <c r="C182" s="16" t="s">
        <v>14</v>
      </c>
      <c r="D182" s="16"/>
      <c r="E182" s="16"/>
      <c r="F182" s="16"/>
    </row>
    <row r="183" spans="1:6">
      <c r="A183" s="16" t="s">
        <v>135</v>
      </c>
      <c r="B183" s="17">
        <v>9.9999999999999995E-8</v>
      </c>
      <c r="C183" s="16" t="s">
        <v>14</v>
      </c>
      <c r="D183" s="16"/>
      <c r="E183" s="16"/>
      <c r="F183" s="16"/>
    </row>
    <row r="184" spans="1:6">
      <c r="A184" s="16" t="s">
        <v>238</v>
      </c>
      <c r="B184" s="17">
        <v>6.2500000000000005E-7</v>
      </c>
      <c r="C184" s="16" t="s">
        <v>14</v>
      </c>
      <c r="D184" s="16"/>
      <c r="E184" s="16"/>
      <c r="F184" s="16"/>
    </row>
    <row r="185" spans="1:6">
      <c r="A185" s="16" t="s">
        <v>239</v>
      </c>
      <c r="B185" s="17">
        <v>6.2500000000000005E-7</v>
      </c>
      <c r="C185" s="16" t="s">
        <v>14</v>
      </c>
      <c r="D185" s="16"/>
      <c r="E185" s="16"/>
      <c r="F185" s="16"/>
    </row>
    <row r="186" spans="1:6">
      <c r="A186" s="16" t="s">
        <v>240</v>
      </c>
      <c r="B186" s="17">
        <v>5.0624999999999997E-5</v>
      </c>
      <c r="C186" s="16" t="s">
        <v>14</v>
      </c>
      <c r="D186" s="16"/>
      <c r="E186" s="16"/>
      <c r="F186" s="16"/>
    </row>
    <row r="187" spans="1:6">
      <c r="A187" s="16" t="s">
        <v>241</v>
      </c>
      <c r="B187" s="17">
        <v>1.575E-6</v>
      </c>
      <c r="C187" s="16" t="s">
        <v>14</v>
      </c>
      <c r="D187" s="16"/>
      <c r="E187" s="16"/>
      <c r="F187" s="16"/>
    </row>
    <row r="188" spans="1:6">
      <c r="A188" s="16" t="s">
        <v>242</v>
      </c>
      <c r="B188" s="17">
        <v>1.425E-8</v>
      </c>
      <c r="C188" s="16" t="s">
        <v>14</v>
      </c>
      <c r="D188" s="16"/>
      <c r="E188" s="16"/>
      <c r="F188" s="16"/>
    </row>
    <row r="189" spans="1:6">
      <c r="A189" s="16" t="s">
        <v>243</v>
      </c>
      <c r="B189" s="17">
        <v>5.5249999999999996E-6</v>
      </c>
      <c r="C189" s="16" t="s">
        <v>14</v>
      </c>
      <c r="D189" s="16"/>
      <c r="E189" s="16"/>
      <c r="F189" s="16"/>
    </row>
    <row r="190" spans="1:6">
      <c r="A190" s="16" t="s">
        <v>273</v>
      </c>
      <c r="B190" s="17">
        <v>9.4749999999999998E-8</v>
      </c>
      <c r="C190" s="16" t="s">
        <v>14</v>
      </c>
      <c r="D190" s="16"/>
      <c r="E190" s="16"/>
      <c r="F190" s="16"/>
    </row>
    <row r="191" spans="1:6">
      <c r="A191" s="16" t="s">
        <v>274</v>
      </c>
      <c r="B191" s="17">
        <v>5.8125000000000003E-5</v>
      </c>
      <c r="C191" s="16" t="s">
        <v>253</v>
      </c>
      <c r="D191" s="16"/>
      <c r="E191" s="16"/>
      <c r="F191" s="16"/>
    </row>
    <row r="192" spans="1:6">
      <c r="A192" s="16" t="s">
        <v>244</v>
      </c>
      <c r="B192" s="17">
        <v>4.7375E-6</v>
      </c>
      <c r="C192" s="16" t="s">
        <v>14</v>
      </c>
      <c r="D192" s="16"/>
      <c r="E192" s="16"/>
      <c r="F192" s="16"/>
    </row>
    <row r="193" spans="1:6">
      <c r="A193" s="16" t="s">
        <v>245</v>
      </c>
      <c r="B193" s="17">
        <v>2.7625000000000001E-8</v>
      </c>
      <c r="C193" s="16" t="s">
        <v>14</v>
      </c>
      <c r="D193" s="16"/>
      <c r="E193" s="16"/>
      <c r="F193" s="16"/>
    </row>
    <row r="194" spans="1:6">
      <c r="A194" s="16" t="s">
        <v>136</v>
      </c>
      <c r="B194" s="17">
        <v>3.5499999999999999E-9</v>
      </c>
      <c r="C194" s="16" t="s">
        <v>14</v>
      </c>
      <c r="D194" s="16"/>
      <c r="E194" s="16"/>
      <c r="F194" s="16"/>
    </row>
    <row r="195" spans="1:6">
      <c r="A195" s="16" t="s">
        <v>155</v>
      </c>
      <c r="B195" s="17">
        <v>1.2500000000000001E-5</v>
      </c>
      <c r="C195" s="16" t="s">
        <v>14</v>
      </c>
      <c r="D195" s="16"/>
      <c r="E195" s="16"/>
      <c r="F195" s="16"/>
    </row>
    <row r="196" spans="1:6">
      <c r="A196" s="16" t="s">
        <v>246</v>
      </c>
      <c r="B196" s="17">
        <v>5.9250000000000001E-9</v>
      </c>
      <c r="C196" s="16" t="s">
        <v>14</v>
      </c>
      <c r="D196" s="16"/>
      <c r="E196" s="16"/>
      <c r="F196" s="16"/>
    </row>
    <row r="197" spans="1:6">
      <c r="A197" s="16" t="s">
        <v>247</v>
      </c>
      <c r="B197" s="17">
        <v>2.3750000000000001E-8</v>
      </c>
      <c r="C197" s="16" t="s">
        <v>14</v>
      </c>
      <c r="D197" s="16"/>
      <c r="E197" s="16"/>
      <c r="F197" s="16"/>
    </row>
    <row r="198" spans="1:6">
      <c r="A198" s="16" t="s">
        <v>139</v>
      </c>
      <c r="B198" s="17">
        <v>2.5000000000000001E-4</v>
      </c>
      <c r="C198" s="16" t="s">
        <v>14</v>
      </c>
      <c r="D198" s="16"/>
      <c r="E198" s="16"/>
      <c r="F198" s="16"/>
    </row>
    <row r="199" spans="1:6">
      <c r="A199" s="16" t="s">
        <v>265</v>
      </c>
      <c r="B199" s="17">
        <v>2.1500000000000002E-6</v>
      </c>
      <c r="C199" s="16" t="s">
        <v>14</v>
      </c>
      <c r="D199" s="16"/>
      <c r="E199" s="16"/>
      <c r="F199" s="16"/>
    </row>
    <row r="200" spans="1:6">
      <c r="A200" s="16" t="s">
        <v>141</v>
      </c>
      <c r="B200" s="17">
        <v>2.5000000000000001E-5</v>
      </c>
      <c r="C200" s="16" t="s">
        <v>14</v>
      </c>
      <c r="D200" s="16"/>
      <c r="E200" s="16"/>
      <c r="F200" s="16"/>
    </row>
    <row r="201" spans="1:6">
      <c r="A201" s="16" t="s">
        <v>248</v>
      </c>
      <c r="B201" s="17">
        <v>1.2500000000000001E-5</v>
      </c>
      <c r="C201" s="16" t="s">
        <v>14</v>
      </c>
      <c r="D201" s="16"/>
      <c r="E201" s="16"/>
      <c r="F201" s="16"/>
    </row>
    <row r="202" spans="1:6">
      <c r="A202" s="16" t="s">
        <v>249</v>
      </c>
      <c r="B202" s="17">
        <v>2.5000000000000001E-5</v>
      </c>
      <c r="C202" s="16" t="s">
        <v>14</v>
      </c>
      <c r="D202" s="16"/>
      <c r="E202" s="16"/>
      <c r="F202" s="16"/>
    </row>
    <row r="203" spans="1:6">
      <c r="A203" s="16" t="s">
        <v>250</v>
      </c>
      <c r="B203" s="17">
        <v>7.9000000000000006E-8</v>
      </c>
      <c r="C203" s="16" t="s">
        <v>14</v>
      </c>
      <c r="D203" s="16"/>
      <c r="E203" s="16"/>
      <c r="F203" s="16"/>
    </row>
    <row r="204" spans="1:6">
      <c r="A204" s="16" t="s">
        <v>275</v>
      </c>
      <c r="B204" s="17">
        <v>1.0624999999999999E-4</v>
      </c>
      <c r="C204" s="16" t="s">
        <v>253</v>
      </c>
      <c r="D204" s="16"/>
      <c r="E204" s="16"/>
      <c r="F204" s="16"/>
    </row>
    <row r="205" spans="1:6">
      <c r="A205" s="16" t="s">
        <v>251</v>
      </c>
      <c r="B205" s="17">
        <v>1.575E-6</v>
      </c>
      <c r="C205" s="16" t="s">
        <v>14</v>
      </c>
      <c r="D205" s="16"/>
      <c r="E205" s="16"/>
      <c r="F205" s="16"/>
    </row>
    <row r="206" spans="1:6">
      <c r="A206" s="16" t="s">
        <v>252</v>
      </c>
      <c r="B206" s="17">
        <v>1.6875E-5</v>
      </c>
      <c r="C206" s="16" t="s">
        <v>253</v>
      </c>
      <c r="D206" s="16"/>
      <c r="E206" s="16"/>
      <c r="F206" s="16"/>
    </row>
    <row r="207" spans="1:6">
      <c r="A207" s="16" t="s">
        <v>143</v>
      </c>
      <c r="B207" s="17">
        <v>1.2500000000000001E-6</v>
      </c>
      <c r="C207" s="16" t="s">
        <v>14</v>
      </c>
      <c r="D207" s="16"/>
      <c r="E207" s="16"/>
      <c r="F207" s="16"/>
    </row>
    <row r="208" spans="1:6">
      <c r="A208" s="16" t="s">
        <v>268</v>
      </c>
      <c r="B208" s="17">
        <v>6.2500000000000005E-7</v>
      </c>
      <c r="C208" s="16" t="s">
        <v>14</v>
      </c>
      <c r="D208" s="16"/>
      <c r="E208" s="16"/>
      <c r="F208" s="16"/>
    </row>
    <row r="209" spans="1:6">
      <c r="A209" s="16" t="s">
        <v>276</v>
      </c>
      <c r="B209" s="17">
        <v>1.5E-5</v>
      </c>
      <c r="C209" s="16" t="s">
        <v>253</v>
      </c>
      <c r="D209" s="16"/>
      <c r="E209" s="16"/>
      <c r="F209" s="16"/>
    </row>
    <row r="210" spans="1:6">
      <c r="A210" s="16" t="s">
        <v>277</v>
      </c>
      <c r="B210" s="17">
        <v>8.1249999999999996E-5</v>
      </c>
      <c r="C210" s="16" t="s">
        <v>253</v>
      </c>
      <c r="D210" s="16"/>
      <c r="E210" s="16"/>
      <c r="F210" s="16"/>
    </row>
    <row r="211" spans="1:6">
      <c r="A211" s="16" t="s">
        <v>278</v>
      </c>
      <c r="B211" s="17">
        <v>1.2500000000000001E-6</v>
      </c>
      <c r="C211" s="16" t="s">
        <v>253</v>
      </c>
      <c r="D211" s="16"/>
      <c r="E211" s="16"/>
      <c r="F211" s="16"/>
    </row>
    <row r="212" spans="1:6">
      <c r="A212" s="16" t="s">
        <v>279</v>
      </c>
      <c r="B212" s="17">
        <v>1.2500000000000001E-6</v>
      </c>
      <c r="C212" s="16" t="s">
        <v>253</v>
      </c>
      <c r="D212" s="16"/>
      <c r="E212" s="16"/>
      <c r="F212" s="16"/>
    </row>
    <row r="213" spans="1:6">
      <c r="A213" s="16" t="s">
        <v>254</v>
      </c>
      <c r="B213" s="17">
        <v>1.575E-9</v>
      </c>
      <c r="C213" s="16" t="s">
        <v>14</v>
      </c>
      <c r="D213" s="16"/>
      <c r="E213" s="16"/>
      <c r="F213" s="16"/>
    </row>
    <row r="214" spans="1:6">
      <c r="A214" s="16" t="s">
        <v>255</v>
      </c>
      <c r="B214" s="17">
        <v>1.185E-8</v>
      </c>
      <c r="C214" s="16" t="s">
        <v>14</v>
      </c>
      <c r="D214" s="16"/>
      <c r="E214" s="16"/>
      <c r="F214" s="16"/>
    </row>
    <row r="215" spans="1:6">
      <c r="A215" s="16" t="s">
        <v>256</v>
      </c>
      <c r="B215" s="17">
        <v>1.9749999999999999E-5</v>
      </c>
      <c r="C215" s="16" t="s">
        <v>14</v>
      </c>
      <c r="D215" s="16"/>
      <c r="E215" s="16"/>
      <c r="F215" s="16"/>
    </row>
    <row r="216" spans="1:6">
      <c r="A216" s="16" t="s">
        <v>257</v>
      </c>
      <c r="B216" s="17">
        <v>7.8999999999999995E-7</v>
      </c>
      <c r="C216" s="16" t="s">
        <v>14</v>
      </c>
      <c r="D216" s="16"/>
      <c r="E216" s="16"/>
      <c r="F216" s="16"/>
    </row>
    <row r="217" spans="1:6">
      <c r="A217" s="16" t="s">
        <v>258</v>
      </c>
      <c r="B217" s="17">
        <v>2.375E-7</v>
      </c>
      <c r="C217" s="16" t="s">
        <v>14</v>
      </c>
      <c r="D217" s="16"/>
      <c r="E217" s="16"/>
      <c r="F217" s="16"/>
    </row>
    <row r="218" spans="1:6">
      <c r="A218" s="16" t="s">
        <v>120</v>
      </c>
      <c r="B218" s="17">
        <v>6.2500000000000001E-4</v>
      </c>
      <c r="C218" s="16" t="s">
        <v>14</v>
      </c>
      <c r="D218" s="16"/>
      <c r="E218" s="16"/>
      <c r="F218" s="16"/>
    </row>
    <row r="219" spans="1:6">
      <c r="A219" s="16" t="s">
        <v>259</v>
      </c>
      <c r="B219" s="17">
        <v>1.9749999999999999E-9</v>
      </c>
      <c r="C219" s="16" t="s">
        <v>14</v>
      </c>
      <c r="D219" s="16"/>
      <c r="E219" s="16"/>
      <c r="F219" s="16"/>
    </row>
    <row r="220" spans="1:6">
      <c r="A220" s="16" t="s">
        <v>280</v>
      </c>
      <c r="B220" s="17">
        <v>2.3750000000000002E-9</v>
      </c>
      <c r="C220" s="16" t="s">
        <v>14</v>
      </c>
      <c r="D220" s="16"/>
      <c r="E220" s="16"/>
      <c r="F220" s="16"/>
    </row>
    <row r="221" spans="1:6">
      <c r="A221" s="16" t="s">
        <v>281</v>
      </c>
      <c r="B221" s="17">
        <v>6.8750000000000002E-6</v>
      </c>
      <c r="C221" s="16" t="s">
        <v>253</v>
      </c>
      <c r="D221" s="16"/>
      <c r="E221" s="16"/>
      <c r="F221" s="16"/>
    </row>
    <row r="222" spans="1:6">
      <c r="A222" s="16" t="s">
        <v>282</v>
      </c>
      <c r="B222" s="17">
        <v>4.3749999999999996E-6</v>
      </c>
      <c r="C222" s="16" t="s">
        <v>253</v>
      </c>
      <c r="D222" s="16"/>
      <c r="E222" s="16"/>
      <c r="F222" s="16"/>
    </row>
    <row r="223" spans="1:6">
      <c r="A223" s="16" t="s">
        <v>260</v>
      </c>
      <c r="B223" s="17">
        <v>7.8999999999999996E-10</v>
      </c>
      <c r="C223" s="16" t="s">
        <v>14</v>
      </c>
      <c r="D223" s="16"/>
      <c r="E223" s="16"/>
      <c r="F223" s="16"/>
    </row>
    <row r="224" spans="1:6">
      <c r="A224" s="16" t="s">
        <v>261</v>
      </c>
      <c r="B224" s="17">
        <v>4.7375000000000002E-7</v>
      </c>
      <c r="C224" s="16" t="s">
        <v>14</v>
      </c>
      <c r="D224" s="16"/>
      <c r="E224" s="16"/>
      <c r="F224" s="16"/>
    </row>
    <row r="225" spans="1:6">
      <c r="A225" s="16" t="s">
        <v>147</v>
      </c>
      <c r="B225" s="17">
        <v>1.2499999999999999E-7</v>
      </c>
      <c r="C225" s="16" t="s">
        <v>14</v>
      </c>
      <c r="D225" s="16"/>
      <c r="E225" s="16"/>
      <c r="F225" s="16"/>
    </row>
    <row r="226" spans="1:6">
      <c r="A226" s="16" t="s">
        <v>283</v>
      </c>
      <c r="B226" s="17">
        <v>3.1625000000000002E-9</v>
      </c>
      <c r="C226" s="16" t="s">
        <v>14</v>
      </c>
      <c r="D226" s="16"/>
      <c r="E226" s="16"/>
      <c r="F226" s="16"/>
    </row>
    <row r="227" spans="1:6">
      <c r="A227" s="16" t="s">
        <v>284</v>
      </c>
      <c r="B227" s="17">
        <v>1.2500000000000001E-5</v>
      </c>
      <c r="C227" s="16" t="s">
        <v>253</v>
      </c>
      <c r="D227" s="16"/>
      <c r="E227" s="16"/>
      <c r="F227" s="16"/>
    </row>
    <row r="228" spans="1:6">
      <c r="A228" s="16" t="s">
        <v>262</v>
      </c>
      <c r="B228" s="17">
        <v>4.7374999999999999E-8</v>
      </c>
      <c r="C228" s="16" t="s">
        <v>14</v>
      </c>
      <c r="D228" s="16"/>
      <c r="E228" s="16"/>
      <c r="F228" s="16"/>
    </row>
    <row r="229" spans="1:6">
      <c r="A229" s="16" t="s">
        <v>263</v>
      </c>
      <c r="B229" s="17">
        <v>1.125E-6</v>
      </c>
      <c r="C229" s="16" t="s">
        <v>23</v>
      </c>
      <c r="D229" s="16"/>
      <c r="E229" s="16"/>
      <c r="F229" s="16"/>
    </row>
    <row r="230" spans="1:6">
      <c r="A230" s="16" t="s">
        <v>263</v>
      </c>
      <c r="B230" s="17">
        <v>6.3749999999999999E-6</v>
      </c>
      <c r="C230" s="16" t="s">
        <v>23</v>
      </c>
      <c r="D230" s="16"/>
      <c r="E230" s="16"/>
      <c r="F230" s="16"/>
    </row>
    <row r="231" spans="1:6">
      <c r="A231" s="16" t="s">
        <v>285</v>
      </c>
      <c r="B231" s="17">
        <v>1.2499999999999999E-7</v>
      </c>
      <c r="C231" s="16" t="s">
        <v>14</v>
      </c>
      <c r="D231" s="16"/>
      <c r="E231" s="16"/>
      <c r="F231" s="16"/>
    </row>
    <row r="232" spans="1:6">
      <c r="A232" s="16" t="s">
        <v>264</v>
      </c>
      <c r="B232" s="17">
        <v>3.9499999999999998E-9</v>
      </c>
      <c r="C232" s="16" t="s">
        <v>14</v>
      </c>
      <c r="D232" s="16"/>
      <c r="E232" s="16"/>
      <c r="F232" s="16"/>
    </row>
    <row r="234" spans="1:6" ht="15">
      <c r="A234" s="27" t="s">
        <v>184</v>
      </c>
      <c r="B234" s="39" t="s">
        <v>80</v>
      </c>
      <c r="C234" s="29">
        <v>1</v>
      </c>
      <c r="D234" s="28"/>
      <c r="E234" s="28" t="s">
        <v>286</v>
      </c>
      <c r="F234" s="28"/>
    </row>
    <row r="235" spans="1:6" ht="15">
      <c r="A235" s="27" t="s">
        <v>44</v>
      </c>
      <c r="B235" s="28"/>
      <c r="C235" s="28"/>
      <c r="D235" s="28"/>
      <c r="E235" s="28"/>
      <c r="F235" s="28"/>
    </row>
    <row r="236" spans="1:6">
      <c r="A236" s="28" t="s">
        <v>287</v>
      </c>
      <c r="B236" s="28">
        <v>0</v>
      </c>
      <c r="C236" s="28" t="s">
        <v>73</v>
      </c>
      <c r="D236" s="28"/>
      <c r="E236" s="28"/>
      <c r="F236" s="28" t="s">
        <v>84</v>
      </c>
    </row>
    <row r="237" spans="1:6">
      <c r="A237" s="28" t="s">
        <v>85</v>
      </c>
      <c r="B237" s="28">
        <v>0</v>
      </c>
      <c r="C237" s="28" t="s">
        <v>65</v>
      </c>
      <c r="D237" s="28"/>
      <c r="E237" s="28"/>
      <c r="F237" s="28" t="s">
        <v>68</v>
      </c>
    </row>
    <row r="238" spans="1:6">
      <c r="A238" s="28" t="s">
        <v>288</v>
      </c>
      <c r="B238" s="28">
        <v>0</v>
      </c>
      <c r="C238" s="28" t="s">
        <v>50</v>
      </c>
      <c r="D238" s="28"/>
      <c r="E238" s="28"/>
      <c r="F238" s="28" t="s">
        <v>88</v>
      </c>
    </row>
    <row r="239" spans="1:6">
      <c r="A239" s="28"/>
      <c r="B239" s="28"/>
      <c r="C239" s="28"/>
      <c r="D239" s="28"/>
      <c r="E239" s="28"/>
      <c r="F239" s="28"/>
    </row>
    <row r="240" spans="1:6" ht="15">
      <c r="A240" s="27" t="s">
        <v>76</v>
      </c>
      <c r="B240" s="28"/>
      <c r="C240" s="28"/>
      <c r="D240" s="28"/>
      <c r="E240" s="28"/>
      <c r="F240" s="28"/>
    </row>
    <row r="241" spans="1:6">
      <c r="A241" s="28" t="s">
        <v>45</v>
      </c>
      <c r="B241" s="28">
        <v>1</v>
      </c>
      <c r="C241" s="28" t="s">
        <v>73</v>
      </c>
      <c r="D241" s="28"/>
      <c r="E241" s="28"/>
      <c r="F241" s="28"/>
    </row>
    <row r="242" spans="1:6">
      <c r="A242" s="28" t="s">
        <v>289</v>
      </c>
      <c r="B242" s="29">
        <f>B14*B13*B72/0.6</f>
        <v>1.2750952952672263</v>
      </c>
      <c r="C242" s="28" t="s">
        <v>290</v>
      </c>
      <c r="D242" s="28"/>
      <c r="E242" s="28"/>
      <c r="F242" s="28"/>
    </row>
    <row r="243" spans="1:6">
      <c r="A243" s="28" t="s">
        <v>291</v>
      </c>
      <c r="B243" s="37">
        <f>B72-B256</f>
        <v>6.0370857681582506E-2</v>
      </c>
      <c r="C243" s="28" t="s">
        <v>14</v>
      </c>
      <c r="D243" s="28"/>
      <c r="E243" s="28"/>
      <c r="F243" s="28" t="s">
        <v>104</v>
      </c>
    </row>
    <row r="244" spans="1:6">
      <c r="A244" s="28" t="s">
        <v>91</v>
      </c>
      <c r="B244" s="28">
        <v>0</v>
      </c>
      <c r="C244" s="29" t="s">
        <v>14</v>
      </c>
      <c r="D244" s="28"/>
      <c r="E244" s="28"/>
      <c r="F244" s="28"/>
    </row>
    <row r="245" spans="1:6">
      <c r="A245" s="28" t="s">
        <v>92</v>
      </c>
      <c r="B245" s="28">
        <v>0</v>
      </c>
      <c r="C245" s="29" t="s">
        <v>14</v>
      </c>
      <c r="D245" s="28"/>
      <c r="E245" s="28"/>
      <c r="F245" s="28"/>
    </row>
    <row r="246" spans="1:6">
      <c r="A246" s="28" t="s">
        <v>93</v>
      </c>
      <c r="B246" s="28">
        <v>0</v>
      </c>
      <c r="C246" s="29" t="s">
        <v>14</v>
      </c>
      <c r="D246" s="28"/>
      <c r="E246" s="28"/>
      <c r="F246" s="28"/>
    </row>
    <row r="247" spans="1:6">
      <c r="A247" s="28" t="s">
        <v>94</v>
      </c>
      <c r="B247" s="28">
        <v>0</v>
      </c>
      <c r="C247" s="29" t="s">
        <v>14</v>
      </c>
      <c r="D247" s="28"/>
      <c r="E247" s="28"/>
      <c r="F247" s="28"/>
    </row>
    <row r="248" spans="1:6">
      <c r="A248" s="28" t="s">
        <v>95</v>
      </c>
      <c r="B248" s="28">
        <v>0</v>
      </c>
      <c r="C248" s="29" t="s">
        <v>14</v>
      </c>
      <c r="D248" s="28"/>
      <c r="E248" s="28"/>
      <c r="F248" s="28"/>
    </row>
    <row r="250" spans="1:6" ht="15">
      <c r="A250" s="4" t="s">
        <v>293</v>
      </c>
      <c r="B250" s="2"/>
      <c r="C250" s="2"/>
      <c r="D250" s="2"/>
      <c r="E250" s="2"/>
      <c r="F250" s="2"/>
    </row>
    <row r="251" spans="1:6">
      <c r="A251" s="5" t="s">
        <v>337</v>
      </c>
      <c r="B251" s="5">
        <f>B14*B13*B72/0.6</f>
        <v>1.2750952952672263</v>
      </c>
      <c r="C251" s="5" t="s">
        <v>295</v>
      </c>
      <c r="D251" s="2"/>
      <c r="E251" s="2"/>
      <c r="F251" s="2"/>
    </row>
    <row r="252" spans="1:6">
      <c r="A252" s="2" t="s">
        <v>296</v>
      </c>
      <c r="B252" s="2"/>
      <c r="C252" s="2"/>
      <c r="D252" s="2"/>
      <c r="E252" s="5"/>
      <c r="F252" s="2"/>
    </row>
    <row r="253" spans="1:6">
      <c r="A253" s="2" t="s">
        <v>297</v>
      </c>
      <c r="B253" s="5">
        <f>B72</f>
        <v>6.1918268907562996E-2</v>
      </c>
      <c r="C253" s="5" t="s">
        <v>14</v>
      </c>
      <c r="D253" s="5"/>
      <c r="E253" s="5"/>
      <c r="F253" s="2"/>
    </row>
    <row r="254" spans="1:6">
      <c r="A254" s="2" t="s">
        <v>298</v>
      </c>
      <c r="B254" s="5">
        <f>(1*B242)/(0.0821*273)</f>
        <v>5.6890118602223955E-2</v>
      </c>
      <c r="C254" s="2"/>
      <c r="D254" s="5"/>
      <c r="E254" s="5"/>
      <c r="F254" s="2"/>
    </row>
    <row r="255" spans="1:6">
      <c r="A255" s="2" t="s">
        <v>299</v>
      </c>
      <c r="B255" s="2">
        <f>16*0.6+44*0.4</f>
        <v>27.200000000000003</v>
      </c>
      <c r="C255" s="2" t="s">
        <v>40</v>
      </c>
      <c r="D255" s="2"/>
      <c r="E255" s="2"/>
      <c r="F255" s="2"/>
    </row>
    <row r="256" spans="1:6">
      <c r="A256" s="2" t="s">
        <v>300</v>
      </c>
      <c r="B256" s="5">
        <f>B255*B254/1000</f>
        <v>1.5474112259804918E-3</v>
      </c>
      <c r="C256" s="2" t="s">
        <v>14</v>
      </c>
      <c r="D256" s="2"/>
      <c r="E256" s="2"/>
      <c r="F256" s="2"/>
    </row>
    <row r="257" spans="1:6" ht="20.25">
      <c r="A257" s="2" t="s">
        <v>301</v>
      </c>
      <c r="B257" s="5">
        <f>B253-B256</f>
        <v>6.0370857681582506E-2</v>
      </c>
      <c r="C257" s="2" t="s">
        <v>14</v>
      </c>
      <c r="D257" s="2"/>
      <c r="E257" s="40"/>
      <c r="F257" s="2"/>
    </row>
    <row r="258" spans="1:6">
      <c r="A258" s="2" t="s">
        <v>302</v>
      </c>
      <c r="B258" s="5">
        <f>(B72)/(B256/B6)</f>
        <v>48.857217181056917</v>
      </c>
      <c r="C258" s="2" t="s">
        <v>14</v>
      </c>
      <c r="D258" s="2"/>
      <c r="E258" s="2"/>
      <c r="F258" s="2"/>
    </row>
    <row r="260" spans="1:6" ht="15">
      <c r="A260" s="33" t="s">
        <v>303</v>
      </c>
      <c r="B260" s="24"/>
      <c r="C260" s="25"/>
      <c r="D260" s="24" t="s">
        <v>108</v>
      </c>
      <c r="E260" s="25"/>
      <c r="F260" s="25"/>
    </row>
    <row r="261" spans="1:6" ht="15">
      <c r="A261" s="24" t="s">
        <v>44</v>
      </c>
      <c r="B261" s="25"/>
      <c r="C261" s="25"/>
      <c r="D261" s="25"/>
      <c r="E261" s="25"/>
      <c r="F261" s="25"/>
    </row>
    <row r="262" spans="1:6">
      <c r="A262" s="25" t="s">
        <v>109</v>
      </c>
      <c r="B262" s="26">
        <v>2.0799999999999999E-4</v>
      </c>
      <c r="C262" s="25" t="s">
        <v>14</v>
      </c>
      <c r="D262" s="25"/>
      <c r="E262" s="25"/>
      <c r="F262" s="25" t="s">
        <v>110</v>
      </c>
    </row>
    <row r="263" spans="1:6">
      <c r="A263" s="25" t="s">
        <v>111</v>
      </c>
      <c r="B263" s="26">
        <v>5.4000000000000001E-11</v>
      </c>
      <c r="C263" s="25" t="s">
        <v>46</v>
      </c>
      <c r="D263" s="25"/>
      <c r="E263" s="25"/>
      <c r="F263" s="25" t="s">
        <v>112</v>
      </c>
    </row>
    <row r="264" spans="1:6">
      <c r="A264" s="25" t="s">
        <v>85</v>
      </c>
      <c r="B264" s="25">
        <v>0.18562874251497</v>
      </c>
      <c r="C264" s="25" t="s">
        <v>86</v>
      </c>
      <c r="D264" s="25"/>
      <c r="E264" s="25"/>
      <c r="F264" s="25" t="s">
        <v>68</v>
      </c>
    </row>
    <row r="265" spans="1:6">
      <c r="A265" s="25" t="s">
        <v>113</v>
      </c>
      <c r="B265" s="26">
        <v>1.4999999999999999E-4</v>
      </c>
      <c r="C265" s="25" t="s">
        <v>14</v>
      </c>
      <c r="D265" s="25"/>
      <c r="E265" s="25"/>
      <c r="F265" s="25" t="s">
        <v>114</v>
      </c>
    </row>
    <row r="266" spans="1:6">
      <c r="A266" s="25" t="s">
        <v>115</v>
      </c>
      <c r="B266" s="26">
        <v>3.98E-6</v>
      </c>
      <c r="C266" s="25" t="s">
        <v>14</v>
      </c>
      <c r="D266" s="25"/>
      <c r="E266" s="25"/>
      <c r="F266" s="25" t="s">
        <v>116</v>
      </c>
    </row>
    <row r="267" spans="1:6">
      <c r="A267" s="25"/>
      <c r="B267" s="26"/>
      <c r="C267" s="25"/>
      <c r="D267" s="25"/>
      <c r="E267" s="25"/>
      <c r="F267" s="25"/>
    </row>
    <row r="268" spans="1:6" ht="15">
      <c r="A268" s="24" t="s">
        <v>61</v>
      </c>
      <c r="B268" s="25"/>
      <c r="C268" s="25"/>
      <c r="D268" s="25"/>
      <c r="E268" s="25"/>
      <c r="F268" s="25"/>
    </row>
    <row r="269" spans="1:6">
      <c r="A269" s="25" t="s">
        <v>47</v>
      </c>
      <c r="B269" s="25">
        <v>1</v>
      </c>
      <c r="C269" s="25" t="s">
        <v>46</v>
      </c>
      <c r="D269" s="25"/>
      <c r="E269" s="25"/>
      <c r="F269" s="25"/>
    </row>
    <row r="270" spans="1:6">
      <c r="A270" s="25" t="s">
        <v>117</v>
      </c>
      <c r="B270" s="25">
        <v>1</v>
      </c>
      <c r="C270" s="25" t="s">
        <v>23</v>
      </c>
      <c r="D270" s="25"/>
      <c r="E270" s="25"/>
      <c r="F270" s="25"/>
    </row>
    <row r="271" spans="1:6">
      <c r="A271" s="25" t="s">
        <v>92</v>
      </c>
      <c r="B271" s="26">
        <v>0.97457000000000005</v>
      </c>
      <c r="C271" s="25" t="s">
        <v>14</v>
      </c>
      <c r="D271" s="25"/>
      <c r="E271" s="25"/>
      <c r="F271" s="25"/>
    </row>
    <row r="272" spans="1:6">
      <c r="A272" s="25" t="s">
        <v>118</v>
      </c>
      <c r="B272" s="26">
        <v>1.28</v>
      </c>
      <c r="C272" s="25" t="s">
        <v>50</v>
      </c>
      <c r="D272" s="25"/>
      <c r="E272" s="25"/>
      <c r="F272" s="25"/>
    </row>
    <row r="273" spans="1:6">
      <c r="A273" s="25" t="s">
        <v>94</v>
      </c>
      <c r="B273" s="26">
        <v>6.7000000000000002E-6</v>
      </c>
      <c r="C273" s="25" t="s">
        <v>14</v>
      </c>
      <c r="D273" s="25"/>
      <c r="E273" s="25"/>
      <c r="F273" s="25"/>
    </row>
    <row r="274" spans="1:6">
      <c r="A274" s="25" t="s">
        <v>95</v>
      </c>
      <c r="B274" s="25">
        <v>8.6E-3</v>
      </c>
      <c r="C274" s="25" t="s">
        <v>14</v>
      </c>
      <c r="D274" s="25"/>
      <c r="E274" s="25"/>
      <c r="F274" s="25"/>
    </row>
    <row r="275" spans="1:6">
      <c r="A275" s="25" t="s">
        <v>119</v>
      </c>
      <c r="B275" s="25">
        <v>4.8779999999999997E-2</v>
      </c>
      <c r="C275" s="25" t="s">
        <v>14</v>
      </c>
      <c r="D275" s="25"/>
      <c r="E275" s="25"/>
      <c r="F275" s="25"/>
    </row>
    <row r="276" spans="1:6">
      <c r="A276" s="25" t="s">
        <v>120</v>
      </c>
      <c r="B276" s="26">
        <v>6.5989999999999998E-6</v>
      </c>
      <c r="C276" s="25" t="s">
        <v>14</v>
      </c>
      <c r="D276" s="25"/>
      <c r="E276" s="25"/>
      <c r="F276" s="25"/>
    </row>
    <row r="278" spans="1:6" ht="15">
      <c r="A278" s="34" t="s">
        <v>186</v>
      </c>
      <c r="B278" s="28"/>
      <c r="C278" s="28"/>
      <c r="D278" s="27" t="s">
        <v>121</v>
      </c>
      <c r="E278" s="28"/>
      <c r="F278" s="28"/>
    </row>
    <row r="279" spans="1:6" ht="15">
      <c r="A279" s="27" t="s">
        <v>44</v>
      </c>
      <c r="B279" s="28"/>
      <c r="C279" s="28"/>
      <c r="D279" s="28"/>
      <c r="E279" s="28"/>
      <c r="F279" s="28"/>
    </row>
    <row r="280" spans="1:6">
      <c r="A280" s="28" t="s">
        <v>85</v>
      </c>
      <c r="B280" s="28">
        <v>2.7244000000000001E-3</v>
      </c>
      <c r="C280" s="28" t="s">
        <v>86</v>
      </c>
      <c r="D280" s="28"/>
      <c r="E280" s="28"/>
      <c r="F280" s="28" t="s">
        <v>68</v>
      </c>
    </row>
    <row r="281" spans="1:6">
      <c r="A281" s="28" t="s">
        <v>122</v>
      </c>
      <c r="B281" s="29">
        <v>6.4679999999999999E-7</v>
      </c>
      <c r="C281" s="28" t="s">
        <v>46</v>
      </c>
      <c r="D281" s="28"/>
      <c r="E281" s="28"/>
      <c r="F281" s="28" t="s">
        <v>123</v>
      </c>
    </row>
    <row r="282" spans="1:6">
      <c r="A282" s="28"/>
      <c r="B282" s="28"/>
      <c r="C282" s="28"/>
      <c r="D282" s="28"/>
      <c r="E282" s="28"/>
      <c r="F282" s="28"/>
    </row>
    <row r="283" spans="1:6" ht="15">
      <c r="A283" s="27" t="s">
        <v>61</v>
      </c>
      <c r="B283" s="28"/>
      <c r="C283" s="28"/>
      <c r="D283" s="28"/>
      <c r="E283" s="28"/>
      <c r="F283" s="28"/>
    </row>
    <row r="284" spans="1:6">
      <c r="A284" s="28" t="s">
        <v>124</v>
      </c>
      <c r="B284" s="28">
        <v>1</v>
      </c>
      <c r="C284" s="28" t="s">
        <v>46</v>
      </c>
      <c r="D284" s="28"/>
      <c r="E284" s="28"/>
      <c r="F284" s="28"/>
    </row>
    <row r="285" spans="1:6">
      <c r="A285" s="28" t="s">
        <v>125</v>
      </c>
      <c r="B285" s="28">
        <v>0</v>
      </c>
      <c r="C285" s="28" t="s">
        <v>50</v>
      </c>
      <c r="D285" s="28"/>
      <c r="E285" s="28" t="s">
        <v>126</v>
      </c>
      <c r="F285" s="28"/>
    </row>
    <row r="286" spans="1:6">
      <c r="A286" s="28" t="s">
        <v>128</v>
      </c>
      <c r="B286" s="29">
        <v>9.7999999999999992E-10</v>
      </c>
      <c r="C286" s="28" t="s">
        <v>14</v>
      </c>
      <c r="D286" s="28"/>
      <c r="E286" s="28"/>
      <c r="F286" s="28"/>
    </row>
    <row r="287" spans="1:6">
      <c r="A287" s="28" t="s">
        <v>129</v>
      </c>
      <c r="B287" s="29">
        <v>1.4700000000000001E-7</v>
      </c>
      <c r="C287" s="28" t="s">
        <v>14</v>
      </c>
      <c r="D287" s="28"/>
      <c r="E287" s="28"/>
      <c r="F287" s="28"/>
    </row>
    <row r="288" spans="1:6">
      <c r="A288" s="28" t="s">
        <v>130</v>
      </c>
      <c r="B288" s="29">
        <v>3.9200000000000002E-7</v>
      </c>
      <c r="C288" s="28" t="s">
        <v>14</v>
      </c>
      <c r="D288" s="28"/>
      <c r="E288" s="28"/>
      <c r="F288" s="28"/>
    </row>
    <row r="289" spans="1:6">
      <c r="A289" s="28" t="s">
        <v>131</v>
      </c>
      <c r="B289" s="29">
        <v>9.7999999999999994E-12</v>
      </c>
      <c r="C289" s="28" t="s">
        <v>14</v>
      </c>
      <c r="D289" s="28"/>
      <c r="E289" s="28"/>
      <c r="F289" s="28"/>
    </row>
    <row r="290" spans="1:6">
      <c r="A290" s="28" t="s">
        <v>132</v>
      </c>
      <c r="B290" s="29">
        <v>6.8599999999999998E-7</v>
      </c>
      <c r="C290" s="28" t="s">
        <v>14</v>
      </c>
      <c r="D290" s="28"/>
      <c r="E290" s="28"/>
      <c r="F290" s="28"/>
    </row>
    <row r="291" spans="1:6">
      <c r="A291" s="28" t="s">
        <v>92</v>
      </c>
      <c r="B291" s="28">
        <v>5.4879999999999998E-2</v>
      </c>
      <c r="C291" s="28" t="s">
        <v>14</v>
      </c>
      <c r="D291" s="28"/>
      <c r="E291" s="28"/>
      <c r="F291" s="28"/>
    </row>
    <row r="292" spans="1:6">
      <c r="A292" s="28" t="s">
        <v>133</v>
      </c>
      <c r="B292" s="29">
        <v>5.7819999999999999E-6</v>
      </c>
      <c r="C292" s="28" t="s">
        <v>14</v>
      </c>
      <c r="D292" s="28"/>
      <c r="E292" s="28"/>
      <c r="F292" s="28"/>
    </row>
    <row r="293" spans="1:6">
      <c r="A293" s="28" t="s">
        <v>93</v>
      </c>
      <c r="B293" s="29">
        <v>4.8999999999999997E-7</v>
      </c>
      <c r="C293" s="28" t="s">
        <v>14</v>
      </c>
      <c r="D293" s="28"/>
      <c r="E293" s="28"/>
      <c r="F293" s="28"/>
    </row>
    <row r="294" spans="1:6">
      <c r="A294" s="28" t="s">
        <v>134</v>
      </c>
      <c r="B294" s="29">
        <v>2.9400000000000001E-17</v>
      </c>
      <c r="C294" s="28" t="s">
        <v>14</v>
      </c>
      <c r="D294" s="28"/>
      <c r="E294" s="28"/>
      <c r="F294" s="28"/>
    </row>
    <row r="295" spans="1:6">
      <c r="A295" s="28" t="s">
        <v>135</v>
      </c>
      <c r="B295" s="29">
        <v>9.8000000000000004E-8</v>
      </c>
      <c r="C295" s="28" t="s">
        <v>14</v>
      </c>
      <c r="D295" s="28"/>
      <c r="E295" s="28"/>
      <c r="F295" s="28"/>
    </row>
    <row r="296" spans="1:6">
      <c r="A296" s="28" t="s">
        <v>136</v>
      </c>
      <c r="B296" s="29">
        <v>2.9400000000000003E-11</v>
      </c>
      <c r="C296" s="28" t="s">
        <v>14</v>
      </c>
      <c r="D296" s="28"/>
      <c r="E296" s="28"/>
      <c r="F296" s="28"/>
    </row>
    <row r="297" spans="1:6">
      <c r="A297" s="28" t="s">
        <v>95</v>
      </c>
      <c r="B297" s="29">
        <v>1.9599999999999999E-6</v>
      </c>
      <c r="C297" s="28" t="s">
        <v>14</v>
      </c>
      <c r="D297" s="28"/>
      <c r="E297" s="28"/>
      <c r="F297" s="28"/>
    </row>
    <row r="298" spans="1:6">
      <c r="A298" s="28" t="s">
        <v>137</v>
      </c>
      <c r="B298" s="29">
        <v>1.2739999999999999E-7</v>
      </c>
      <c r="C298" s="28" t="s">
        <v>14</v>
      </c>
      <c r="D298" s="28"/>
      <c r="E298" s="28"/>
      <c r="F298" s="28"/>
    </row>
    <row r="299" spans="1:6">
      <c r="A299" s="28" t="s">
        <v>138</v>
      </c>
      <c r="B299" s="29">
        <v>2.9400000000000002E-9</v>
      </c>
      <c r="C299" s="28" t="s">
        <v>14</v>
      </c>
      <c r="D299" s="28"/>
      <c r="E299" s="28"/>
      <c r="F299" s="28"/>
    </row>
    <row r="300" spans="1:6">
      <c r="A300" s="28" t="s">
        <v>139</v>
      </c>
      <c r="B300" s="29">
        <v>9.7019999999999996E-6</v>
      </c>
      <c r="C300" s="28" t="s">
        <v>14</v>
      </c>
      <c r="D300" s="28"/>
      <c r="E300" s="28"/>
      <c r="F300" s="28"/>
    </row>
    <row r="301" spans="1:6">
      <c r="A301" s="28" t="s">
        <v>140</v>
      </c>
      <c r="B301" s="29">
        <v>9.8000000000000001E-9</v>
      </c>
      <c r="C301" s="28" t="s">
        <v>14</v>
      </c>
      <c r="D301" s="28"/>
      <c r="E301" s="28"/>
      <c r="F301" s="28"/>
    </row>
    <row r="302" spans="1:6">
      <c r="A302" s="28" t="s">
        <v>141</v>
      </c>
      <c r="B302" s="29">
        <v>9.8000000000000004E-8</v>
      </c>
      <c r="C302" s="28" t="s">
        <v>14</v>
      </c>
      <c r="D302" s="28"/>
      <c r="E302" s="28"/>
      <c r="F302" s="28"/>
    </row>
    <row r="303" spans="1:6">
      <c r="A303" s="28" t="s">
        <v>142</v>
      </c>
      <c r="B303" s="29">
        <v>1.176E-6</v>
      </c>
      <c r="C303" s="28" t="s">
        <v>14</v>
      </c>
      <c r="D303" s="28"/>
      <c r="E303" s="28"/>
      <c r="F303" s="28"/>
    </row>
    <row r="304" spans="1:6">
      <c r="A304" s="28" t="s">
        <v>143</v>
      </c>
      <c r="B304" s="29">
        <v>1.9600000000000001E-7</v>
      </c>
      <c r="C304" s="28" t="s">
        <v>14</v>
      </c>
      <c r="D304" s="28"/>
      <c r="E304" s="28"/>
      <c r="F304" s="28"/>
    </row>
    <row r="305" spans="1:6">
      <c r="A305" s="28" t="s">
        <v>144</v>
      </c>
      <c r="B305" s="29">
        <v>1.96E-8</v>
      </c>
      <c r="C305" s="28" t="s">
        <v>14</v>
      </c>
      <c r="D305" s="28"/>
      <c r="E305" s="28"/>
      <c r="F305" s="28"/>
    </row>
    <row r="306" spans="1:6">
      <c r="A306" s="28" t="s">
        <v>145</v>
      </c>
      <c r="B306" s="29">
        <v>4.9000000000000002E-8</v>
      </c>
      <c r="C306" s="28" t="s">
        <v>14</v>
      </c>
      <c r="D306" s="28"/>
      <c r="E306" s="28"/>
      <c r="F306" s="28"/>
    </row>
    <row r="307" spans="1:6">
      <c r="A307" s="28" t="s">
        <v>146</v>
      </c>
      <c r="B307" s="29">
        <v>4.9000000000000002E-8</v>
      </c>
      <c r="C307" s="28" t="s">
        <v>14</v>
      </c>
      <c r="D307" s="28"/>
      <c r="E307" s="28"/>
      <c r="F307" s="28"/>
    </row>
    <row r="308" spans="1:6">
      <c r="A308" s="28" t="s">
        <v>120</v>
      </c>
      <c r="B308" s="29">
        <v>4.8999999999999997E-7</v>
      </c>
      <c r="C308" s="28" t="s">
        <v>14</v>
      </c>
      <c r="D308" s="28"/>
      <c r="E308" s="28"/>
      <c r="F308" s="28"/>
    </row>
    <row r="309" spans="1:6">
      <c r="A309" s="28" t="s">
        <v>147</v>
      </c>
      <c r="B309" s="29">
        <v>1.9600000000000001E-7</v>
      </c>
      <c r="C309" s="28" t="s">
        <v>14</v>
      </c>
      <c r="D309" s="29"/>
      <c r="E309" s="28"/>
      <c r="F309" s="28"/>
    </row>
    <row r="311" spans="1:6" ht="15">
      <c r="A311" s="30" t="s">
        <v>304</v>
      </c>
      <c r="B311" s="16"/>
      <c r="C311" s="16"/>
      <c r="D311" s="16"/>
      <c r="E311" s="16"/>
      <c r="F311" s="16"/>
    </row>
    <row r="312" spans="1:6" ht="15">
      <c r="A312" s="15" t="s">
        <v>44</v>
      </c>
      <c r="B312" s="16"/>
      <c r="C312" s="16"/>
      <c r="D312" s="16"/>
      <c r="E312" s="16"/>
      <c r="F312" s="16"/>
    </row>
    <row r="313" spans="1:6">
      <c r="A313" s="16" t="s">
        <v>85</v>
      </c>
      <c r="B313" s="16">
        <v>4.6333333333333296E-3</v>
      </c>
      <c r="C313" s="16" t="s">
        <v>86</v>
      </c>
      <c r="D313" s="16"/>
      <c r="E313" s="16"/>
      <c r="F313" s="16" t="s">
        <v>68</v>
      </c>
    </row>
    <row r="314" spans="1:6">
      <c r="A314" s="16" t="s">
        <v>149</v>
      </c>
      <c r="B314" s="17">
        <v>3.1111111111111102E-9</v>
      </c>
      <c r="C314" s="16" t="s">
        <v>46</v>
      </c>
      <c r="D314" s="16"/>
      <c r="E314" s="16"/>
      <c r="F314" s="16" t="s">
        <v>150</v>
      </c>
    </row>
    <row r="315" spans="1:6">
      <c r="A315" s="16" t="s">
        <v>151</v>
      </c>
      <c r="B315" s="16">
        <v>3.0864197530864199E-2</v>
      </c>
      <c r="C315" s="16" t="s">
        <v>23</v>
      </c>
      <c r="D315" s="16"/>
      <c r="E315" s="16"/>
      <c r="F315" s="16" t="s">
        <v>152</v>
      </c>
    </row>
    <row r="316" spans="1:6">
      <c r="A316" s="16"/>
      <c r="B316" s="16"/>
      <c r="C316" s="16"/>
      <c r="D316" s="16"/>
      <c r="E316" s="16"/>
      <c r="F316" s="16"/>
    </row>
    <row r="317" spans="1:6" ht="15">
      <c r="A317" s="15" t="s">
        <v>76</v>
      </c>
      <c r="B317" s="16"/>
      <c r="C317" s="16"/>
      <c r="D317" s="16"/>
      <c r="E317" s="16"/>
      <c r="F317" s="16"/>
    </row>
    <row r="318" spans="1:6">
      <c r="A318" s="16" t="s">
        <v>87</v>
      </c>
      <c r="B318" s="16">
        <v>1</v>
      </c>
      <c r="C318" s="16" t="s">
        <v>50</v>
      </c>
      <c r="D318" s="16"/>
      <c r="E318" s="16"/>
      <c r="F318" s="16"/>
    </row>
    <row r="319" spans="1:6">
      <c r="A319" s="16" t="s">
        <v>128</v>
      </c>
      <c r="B319" s="17">
        <v>1.11111111111111E-9</v>
      </c>
      <c r="C319" s="16" t="s">
        <v>14</v>
      </c>
      <c r="D319" s="16"/>
      <c r="E319" s="16"/>
      <c r="F319" s="16"/>
    </row>
    <row r="320" spans="1:6">
      <c r="A320" s="16" t="s">
        <v>129</v>
      </c>
      <c r="B320" s="17">
        <v>1.6666666666666699E-7</v>
      </c>
      <c r="C320" s="16" t="s">
        <v>14</v>
      </c>
      <c r="D320" s="16"/>
      <c r="E320" s="16"/>
      <c r="F320" s="16"/>
    </row>
    <row r="321" spans="1:6">
      <c r="A321" s="16" t="s">
        <v>130</v>
      </c>
      <c r="B321" s="17">
        <v>4.4444444444444401E-7</v>
      </c>
      <c r="C321" s="16" t="s">
        <v>14</v>
      </c>
      <c r="D321" s="16"/>
      <c r="E321" s="16"/>
      <c r="F321" s="16"/>
    </row>
    <row r="322" spans="1:6">
      <c r="A322" s="17" t="s">
        <v>131</v>
      </c>
      <c r="B322" s="17">
        <v>1.11111111111111E-11</v>
      </c>
      <c r="C322" s="16" t="s">
        <v>14</v>
      </c>
      <c r="D322" s="16"/>
      <c r="E322" s="16"/>
      <c r="F322" s="16"/>
    </row>
    <row r="323" spans="1:6">
      <c r="A323" s="17" t="s">
        <v>132</v>
      </c>
      <c r="B323" s="17">
        <v>7.77777777777778E-7</v>
      </c>
      <c r="C323" s="16" t="s">
        <v>14</v>
      </c>
      <c r="D323" s="16"/>
      <c r="E323" s="16"/>
      <c r="F323" s="16"/>
    </row>
    <row r="324" spans="1:6">
      <c r="A324" s="17" t="s">
        <v>153</v>
      </c>
      <c r="B324" s="16">
        <v>6.22222222222222E-2</v>
      </c>
      <c r="C324" s="16" t="s">
        <v>14</v>
      </c>
      <c r="D324" s="16"/>
      <c r="E324" s="16"/>
      <c r="F324" s="16"/>
    </row>
    <row r="325" spans="1:6">
      <c r="A325" s="17" t="s">
        <v>154</v>
      </c>
      <c r="B325" s="17">
        <v>1.5555555555555599E-5</v>
      </c>
      <c r="C325" s="16" t="s">
        <v>14</v>
      </c>
      <c r="D325" s="16"/>
      <c r="E325" s="16"/>
      <c r="F325" s="16"/>
    </row>
    <row r="326" spans="1:6">
      <c r="A326" s="17" t="s">
        <v>93</v>
      </c>
      <c r="B326" s="17">
        <v>1.11111111111111E-7</v>
      </c>
      <c r="C326" s="16" t="s">
        <v>14</v>
      </c>
      <c r="D326" s="16"/>
      <c r="E326" s="16"/>
      <c r="F326" s="16"/>
    </row>
    <row r="327" spans="1:6">
      <c r="A327" s="16" t="s">
        <v>134</v>
      </c>
      <c r="B327" s="17">
        <v>3.3333333333333298E-17</v>
      </c>
      <c r="C327" s="16" t="s">
        <v>14</v>
      </c>
      <c r="D327" s="16"/>
      <c r="E327" s="16"/>
      <c r="F327" s="17"/>
    </row>
    <row r="328" spans="1:6">
      <c r="A328" s="16" t="s">
        <v>135</v>
      </c>
      <c r="B328" s="17">
        <v>1.11111111111111E-7</v>
      </c>
      <c r="C328" s="16" t="s">
        <v>14</v>
      </c>
      <c r="D328" s="16"/>
      <c r="E328" s="17"/>
      <c r="F328" s="16"/>
    </row>
    <row r="329" spans="1:6">
      <c r="A329" s="17" t="s">
        <v>136</v>
      </c>
      <c r="B329" s="17">
        <v>3.3333333333333302E-11</v>
      </c>
      <c r="C329" s="16" t="s">
        <v>14</v>
      </c>
      <c r="D329" s="16"/>
      <c r="E329" s="16"/>
      <c r="F329" s="16"/>
    </row>
    <row r="330" spans="1:6">
      <c r="A330" s="16" t="s">
        <v>155</v>
      </c>
      <c r="B330" s="17">
        <v>2.22222222222222E-6</v>
      </c>
      <c r="C330" s="16" t="s">
        <v>14</v>
      </c>
      <c r="D330" s="16"/>
      <c r="E330" s="16"/>
      <c r="F330" s="16"/>
    </row>
    <row r="331" spans="1:6">
      <c r="A331" s="16" t="s">
        <v>139</v>
      </c>
      <c r="B331" s="17">
        <v>2.5555555555555602E-5</v>
      </c>
      <c r="C331" s="16" t="s">
        <v>14</v>
      </c>
      <c r="D331" s="16"/>
      <c r="E331" s="16"/>
      <c r="F331" s="16"/>
    </row>
    <row r="332" spans="1:6">
      <c r="A332" s="16" t="s">
        <v>140</v>
      </c>
      <c r="B332" s="17">
        <v>1.11111111111111E-8</v>
      </c>
      <c r="C332" s="16" t="s">
        <v>14</v>
      </c>
      <c r="D332" s="16"/>
      <c r="E332" s="16"/>
      <c r="F332" s="16"/>
    </row>
    <row r="333" spans="1:6">
      <c r="A333" s="16" t="s">
        <v>141</v>
      </c>
      <c r="B333" s="17">
        <v>1.11111111111111E-7</v>
      </c>
      <c r="C333" s="16" t="s">
        <v>14</v>
      </c>
      <c r="D333" s="16"/>
      <c r="E333" s="16"/>
      <c r="F333" s="16"/>
    </row>
    <row r="334" spans="1:6">
      <c r="A334" s="17" t="s">
        <v>142</v>
      </c>
      <c r="B334" s="17">
        <v>1.33333333333333E-6</v>
      </c>
      <c r="C334" s="16" t="s">
        <v>14</v>
      </c>
      <c r="D334" s="16"/>
      <c r="E334" s="16"/>
      <c r="F334" s="16"/>
    </row>
    <row r="335" spans="1:6">
      <c r="A335" s="17" t="s">
        <v>143</v>
      </c>
      <c r="B335" s="17">
        <v>2.2222222222222201E-7</v>
      </c>
      <c r="C335" s="16" t="s">
        <v>14</v>
      </c>
      <c r="D335" s="16"/>
      <c r="E335" s="16"/>
      <c r="F335" s="16"/>
    </row>
    <row r="336" spans="1:6">
      <c r="A336" s="16" t="s">
        <v>144</v>
      </c>
      <c r="B336" s="17">
        <v>2.2222222222222201E-8</v>
      </c>
      <c r="C336" s="16" t="s">
        <v>14</v>
      </c>
      <c r="D336" s="16"/>
      <c r="E336" s="16"/>
      <c r="F336" s="16"/>
    </row>
    <row r="337" spans="1:6">
      <c r="A337" s="16" t="s">
        <v>120</v>
      </c>
      <c r="B337" s="17">
        <v>6.1111111111111095E-7</v>
      </c>
      <c r="C337" s="16" t="s">
        <v>14</v>
      </c>
      <c r="D337" s="16"/>
      <c r="E337" s="16"/>
      <c r="F337" s="16"/>
    </row>
    <row r="338" spans="1:6">
      <c r="A338" s="17" t="s">
        <v>147</v>
      </c>
      <c r="B338" s="17">
        <v>2.2222222222222201E-7</v>
      </c>
      <c r="C338" s="16" t="s">
        <v>14</v>
      </c>
      <c r="D338" s="16"/>
      <c r="E338" s="16"/>
      <c r="F338" s="16"/>
    </row>
    <row r="342" spans="1:6">
      <c r="B342" s="3"/>
    </row>
    <row r="343" spans="1:6">
      <c r="B343" s="3"/>
    </row>
    <row r="344" spans="1:6">
      <c r="B344" s="3"/>
    </row>
    <row r="351" spans="1:6">
      <c r="E351" s="3"/>
      <c r="F351" s="3"/>
    </row>
    <row r="352" spans="1:6">
      <c r="B352" s="3"/>
      <c r="E352" s="3"/>
      <c r="F352" s="3"/>
    </row>
    <row r="353" spans="1:6">
      <c r="B353" s="3"/>
      <c r="C353" s="3"/>
      <c r="E353" s="3"/>
      <c r="F353" s="3"/>
    </row>
    <row r="354" spans="1:6">
      <c r="B354" s="3"/>
      <c r="C354" s="3"/>
      <c r="E354" s="3"/>
      <c r="F354" s="3"/>
    </row>
    <row r="355" spans="1:6">
      <c r="B355" s="3"/>
      <c r="E355" s="3"/>
      <c r="F355" s="3"/>
    </row>
    <row r="356" spans="1:6">
      <c r="B356" s="3"/>
    </row>
    <row r="357" spans="1:6">
      <c r="A357" s="3"/>
      <c r="B357" s="3"/>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E2BF5-0F89-4CE2-8AA8-B0F97095981D}">
  <dimension ref="A1:F357"/>
  <sheetViews>
    <sheetView topLeftCell="A257" zoomScale="32" zoomScaleNormal="70" workbookViewId="0">
      <selection activeCell="F67" sqref="F67"/>
    </sheetView>
  </sheetViews>
  <sheetFormatPr baseColWidth="10" defaultColWidth="9" defaultRowHeight="14.25"/>
  <cols>
    <col min="1" max="1" width="78.125" customWidth="1"/>
    <col min="2" max="2" width="79" customWidth="1"/>
    <col min="3" max="3" width="21.75" customWidth="1"/>
    <col min="4" max="4" width="28" customWidth="1"/>
    <col min="5" max="5" width="99.75" bestFit="1" customWidth="1"/>
    <col min="6" max="6" width="45.375" customWidth="1"/>
  </cols>
  <sheetData>
    <row r="1" spans="1:6" ht="15">
      <c r="A1" s="6" t="s">
        <v>6</v>
      </c>
      <c r="B1" s="6" t="s">
        <v>7</v>
      </c>
      <c r="C1" s="6" t="s">
        <v>8</v>
      </c>
      <c r="D1" s="6" t="s">
        <v>9</v>
      </c>
      <c r="E1" s="6" t="s">
        <v>10</v>
      </c>
      <c r="F1" s="6" t="s">
        <v>11</v>
      </c>
    </row>
    <row r="3" spans="1:6" ht="15">
      <c r="A3" s="36" t="s">
        <v>159</v>
      </c>
      <c r="B3" s="35"/>
      <c r="C3" s="35"/>
      <c r="D3" s="35"/>
      <c r="E3" s="35"/>
      <c r="F3" s="35"/>
    </row>
    <row r="4" spans="1:6">
      <c r="A4" s="35" t="s">
        <v>351</v>
      </c>
      <c r="B4" s="35">
        <v>0.1</v>
      </c>
      <c r="C4" s="35" t="s">
        <v>14</v>
      </c>
      <c r="D4" s="35" t="s">
        <v>339</v>
      </c>
      <c r="E4" s="35"/>
      <c r="F4" s="35"/>
    </row>
    <row r="5" spans="1:6">
      <c r="A5" s="35" t="s">
        <v>352</v>
      </c>
      <c r="B5" s="35">
        <v>0.46800000000000003</v>
      </c>
      <c r="C5" s="35"/>
      <c r="D5" s="35"/>
      <c r="E5" s="35"/>
      <c r="F5" s="35"/>
    </row>
    <row r="6" spans="1:6">
      <c r="A6" s="35" t="s">
        <v>160</v>
      </c>
      <c r="B6" s="35">
        <v>1.2210000000000001</v>
      </c>
      <c r="C6" s="35" t="s">
        <v>17</v>
      </c>
      <c r="D6" s="35"/>
      <c r="E6" s="35"/>
      <c r="F6" s="35"/>
    </row>
    <row r="7" spans="1:6">
      <c r="A7" s="42" t="s">
        <v>353</v>
      </c>
      <c r="B7" s="35">
        <v>0.65</v>
      </c>
      <c r="C7" s="35"/>
      <c r="D7" s="35" t="s">
        <v>162</v>
      </c>
      <c r="E7" s="35"/>
      <c r="F7" s="35"/>
    </row>
    <row r="8" spans="1:6">
      <c r="A8" s="42" t="s">
        <v>354</v>
      </c>
      <c r="B8" s="35">
        <v>0.33200000000000002</v>
      </c>
      <c r="C8" s="35"/>
      <c r="D8" s="35" t="s">
        <v>162</v>
      </c>
      <c r="E8" s="35"/>
      <c r="F8" s="35"/>
    </row>
    <row r="9" spans="1:6">
      <c r="A9" s="42" t="s">
        <v>355</v>
      </c>
      <c r="B9" s="35">
        <v>1.7999999999999999E-2</v>
      </c>
      <c r="C9" s="35"/>
      <c r="D9" s="35" t="s">
        <v>162</v>
      </c>
      <c r="E9" s="35"/>
      <c r="F9" s="35"/>
    </row>
    <row r="10" spans="1:6">
      <c r="A10" s="42" t="s">
        <v>356</v>
      </c>
      <c r="B10" s="35">
        <v>0.78600000000000003</v>
      </c>
      <c r="C10" s="35"/>
      <c r="D10" s="35" t="s">
        <v>162</v>
      </c>
      <c r="E10" s="35"/>
      <c r="F10" s="35"/>
    </row>
    <row r="11" spans="1:6">
      <c r="A11" s="35" t="s">
        <v>166</v>
      </c>
      <c r="B11" s="35">
        <v>4.3249999999999997E-2</v>
      </c>
      <c r="C11" s="35" t="s">
        <v>14</v>
      </c>
      <c r="D11" s="35" t="s">
        <v>167</v>
      </c>
      <c r="E11" s="35"/>
      <c r="F11" s="35"/>
    </row>
    <row r="12" spans="1:6">
      <c r="A12" s="42" t="s">
        <v>168</v>
      </c>
      <c r="B12" s="35">
        <f>B17/27</f>
        <v>0.3666666666666667</v>
      </c>
      <c r="C12" s="35"/>
      <c r="D12" s="35" t="s">
        <v>169</v>
      </c>
      <c r="E12" s="35"/>
      <c r="F12" s="35"/>
    </row>
    <row r="13" spans="1:6">
      <c r="A13" s="42" t="s">
        <v>357</v>
      </c>
      <c r="B13" s="35">
        <f>16.4*4</f>
        <v>65.599999999999994</v>
      </c>
      <c r="C13" s="35" t="s">
        <v>171</v>
      </c>
      <c r="D13" s="35" t="s">
        <v>172</v>
      </c>
      <c r="E13" s="35"/>
      <c r="F13" s="35"/>
    </row>
    <row r="14" spans="1:6">
      <c r="A14" s="42" t="s">
        <v>358</v>
      </c>
      <c r="B14" s="35">
        <v>0.21099999999999999</v>
      </c>
      <c r="C14" s="35" t="s">
        <v>174</v>
      </c>
      <c r="D14" s="35" t="s">
        <v>172</v>
      </c>
      <c r="E14" s="35"/>
      <c r="F14" s="35"/>
    </row>
    <row r="15" spans="1:6">
      <c r="A15" s="35" t="s">
        <v>22</v>
      </c>
      <c r="B15" s="35">
        <v>1.53579</v>
      </c>
      <c r="C15" s="35" t="s">
        <v>23</v>
      </c>
      <c r="D15" s="35"/>
      <c r="E15" s="35"/>
      <c r="F15" s="35"/>
    </row>
    <row r="16" spans="1:6">
      <c r="A16" s="35" t="s">
        <v>24</v>
      </c>
      <c r="B16" s="35">
        <v>2.513E-2</v>
      </c>
      <c r="C16" s="35" t="s">
        <v>23</v>
      </c>
      <c r="D16" s="35"/>
      <c r="E16" s="35"/>
      <c r="F16" s="35"/>
    </row>
    <row r="17" spans="1:6">
      <c r="A17" s="35" t="s">
        <v>359</v>
      </c>
      <c r="B17" s="35">
        <v>9.9</v>
      </c>
      <c r="C17" s="35" t="s">
        <v>177</v>
      </c>
      <c r="D17" s="35"/>
      <c r="E17" s="35"/>
      <c r="F17" s="35"/>
    </row>
    <row r="19" spans="1:6" ht="15">
      <c r="A19" s="34" t="s">
        <v>178</v>
      </c>
      <c r="B19" s="28"/>
      <c r="C19" s="28"/>
      <c r="D19" s="28"/>
      <c r="E19" s="28"/>
      <c r="F19" s="28"/>
    </row>
    <row r="20" spans="1:6" ht="15">
      <c r="A20" s="27" t="s">
        <v>44</v>
      </c>
      <c r="B20" s="28"/>
      <c r="C20" s="28"/>
      <c r="D20" s="28"/>
      <c r="E20" s="28"/>
      <c r="F20" s="28"/>
    </row>
    <row r="21" spans="1:6">
      <c r="A21" s="28" t="s">
        <v>45</v>
      </c>
      <c r="B21" s="28">
        <v>1</v>
      </c>
      <c r="C21" s="28" t="s">
        <v>46</v>
      </c>
      <c r="D21" s="28"/>
      <c r="E21" s="28"/>
      <c r="F21" s="28"/>
    </row>
    <row r="22" spans="1:6">
      <c r="A22" s="28" t="s">
        <v>47</v>
      </c>
      <c r="B22" s="28">
        <v>0.15650723831737146</v>
      </c>
      <c r="C22" s="28" t="s">
        <v>46</v>
      </c>
      <c r="D22" s="28"/>
      <c r="E22" s="28"/>
      <c r="F22" s="28"/>
    </row>
    <row r="23" spans="1:6">
      <c r="A23" s="28" t="s">
        <v>48</v>
      </c>
      <c r="B23" s="28">
        <v>1</v>
      </c>
      <c r="C23" s="28" t="s">
        <v>46</v>
      </c>
      <c r="D23" s="28"/>
      <c r="E23" s="28"/>
      <c r="F23" s="28"/>
    </row>
    <row r="24" spans="1:6">
      <c r="A24" s="28" t="s">
        <v>49</v>
      </c>
      <c r="B24" s="28">
        <v>6.2279044296606232</v>
      </c>
      <c r="C24" s="28" t="s">
        <v>46</v>
      </c>
      <c r="D24" s="28"/>
      <c r="E24" s="28"/>
      <c r="F24" s="28"/>
    </row>
    <row r="25" spans="1:6">
      <c r="A25" s="28" t="s">
        <v>51</v>
      </c>
      <c r="B25" s="28">
        <v>-6.2279044296606232</v>
      </c>
      <c r="C25" s="28" t="s">
        <v>50</v>
      </c>
      <c r="D25" s="28"/>
      <c r="E25" s="28"/>
      <c r="F25" s="28" t="s">
        <v>52</v>
      </c>
    </row>
    <row r="26" spans="1:6">
      <c r="A26" s="28" t="s">
        <v>53</v>
      </c>
      <c r="B26" s="28">
        <v>1</v>
      </c>
      <c r="C26" s="28" t="s">
        <v>46</v>
      </c>
      <c r="D26" s="28"/>
      <c r="E26" s="28"/>
      <c r="F26" s="28"/>
    </row>
    <row r="27" spans="1:6">
      <c r="A27" s="28" t="s">
        <v>54</v>
      </c>
      <c r="B27" s="29">
        <v>1</v>
      </c>
      <c r="C27" s="28" t="s">
        <v>46</v>
      </c>
      <c r="D27" s="28"/>
      <c r="E27" s="28"/>
      <c r="F27" s="28"/>
    </row>
    <row r="28" spans="1:6">
      <c r="A28" s="28" t="s">
        <v>179</v>
      </c>
      <c r="B28" s="28">
        <v>1</v>
      </c>
      <c r="C28" s="28" t="s">
        <v>46</v>
      </c>
      <c r="D28" s="28"/>
      <c r="E28" s="28"/>
      <c r="F28" s="28"/>
    </row>
    <row r="29" spans="1:6">
      <c r="A29" s="28" t="s">
        <v>180</v>
      </c>
      <c r="B29" s="28">
        <v>1</v>
      </c>
      <c r="C29" s="28" t="s">
        <v>46</v>
      </c>
      <c r="D29" s="28"/>
      <c r="E29" s="28"/>
      <c r="F29" s="28"/>
    </row>
    <row r="30" spans="1:6" ht="15">
      <c r="A30" s="28" t="s">
        <v>181</v>
      </c>
      <c r="B30" s="29">
        <f>B83*B12/B11</f>
        <v>0.32573752943695145</v>
      </c>
      <c r="C30" s="28" t="s">
        <v>46</v>
      </c>
      <c r="D30" s="28"/>
      <c r="E30" s="27"/>
      <c r="F30" s="28"/>
    </row>
    <row r="31" spans="1:6">
      <c r="A31" s="28" t="s">
        <v>182</v>
      </c>
      <c r="B31" s="29">
        <f>-B30</f>
        <v>-0.32573752943695145</v>
      </c>
      <c r="C31" s="28" t="s">
        <v>50</v>
      </c>
      <c r="D31" s="28"/>
      <c r="E31" s="28"/>
      <c r="F31" s="28" t="s">
        <v>183</v>
      </c>
    </row>
    <row r="32" spans="1:6">
      <c r="A32" s="28" t="s">
        <v>184</v>
      </c>
      <c r="B32" s="28">
        <v>1</v>
      </c>
      <c r="C32" s="28" t="s">
        <v>46</v>
      </c>
      <c r="D32" s="28"/>
      <c r="E32" s="28"/>
      <c r="F32" s="28"/>
    </row>
    <row r="33" spans="1:6">
      <c r="A33" s="28" t="s">
        <v>185</v>
      </c>
      <c r="B33" s="29">
        <f>(B242/1000)/B15</f>
        <v>1.5539923608666069E-3</v>
      </c>
      <c r="C33" s="28" t="s">
        <v>46</v>
      </c>
      <c r="D33" s="28"/>
      <c r="E33" s="28"/>
      <c r="F33" s="28"/>
    </row>
    <row r="34" spans="1:6">
      <c r="A34" s="28" t="s">
        <v>186</v>
      </c>
      <c r="B34" s="29">
        <f>B33/B16</f>
        <v>6.1838136126804895E-2</v>
      </c>
      <c r="C34" s="28" t="s">
        <v>46</v>
      </c>
      <c r="D34" s="28"/>
      <c r="E34" s="28"/>
      <c r="F34" s="28"/>
    </row>
    <row r="35" spans="1:6">
      <c r="A35" s="28" t="s">
        <v>187</v>
      </c>
      <c r="B35" s="29">
        <f>-B34</f>
        <v>-6.1838136126804895E-2</v>
      </c>
      <c r="C35" s="28" t="s">
        <v>50</v>
      </c>
      <c r="D35" s="28"/>
      <c r="E35" s="28"/>
      <c r="F35" s="28" t="s">
        <v>52</v>
      </c>
    </row>
    <row r="36" spans="1:6">
      <c r="A36" s="28" t="s">
        <v>55</v>
      </c>
      <c r="B36" s="54">
        <v>-2.2793296089385481E-3</v>
      </c>
      <c r="C36" s="28" t="s">
        <v>14</v>
      </c>
      <c r="D36" s="28"/>
      <c r="E36" s="28"/>
      <c r="F36" s="28"/>
    </row>
    <row r="37" spans="1:6">
      <c r="A37" s="28" t="s">
        <v>57</v>
      </c>
      <c r="B37" s="55">
        <v>-2.4883907010272131E-4</v>
      </c>
      <c r="C37" s="28" t="s">
        <v>14</v>
      </c>
      <c r="D37" s="28"/>
      <c r="E37" s="28"/>
      <c r="F37" s="28"/>
    </row>
    <row r="38" spans="1:6">
      <c r="A38" s="28" t="s">
        <v>59</v>
      </c>
      <c r="B38" s="55">
        <v>-9.5225325884543794E-5</v>
      </c>
      <c r="C38" s="28" t="s">
        <v>14</v>
      </c>
      <c r="D38" s="28"/>
      <c r="E38" s="28"/>
      <c r="F38" s="28"/>
    </row>
    <row r="39" spans="1:6">
      <c r="A39" s="28"/>
      <c r="B39" s="28"/>
      <c r="C39" s="28"/>
      <c r="D39" s="28"/>
      <c r="E39" s="28"/>
      <c r="F39" s="28"/>
    </row>
    <row r="40" spans="1:6" ht="15">
      <c r="A40" s="27" t="s">
        <v>61</v>
      </c>
      <c r="B40" s="28"/>
      <c r="C40" s="28"/>
      <c r="D40" s="28"/>
      <c r="E40" s="28"/>
      <c r="F40" s="28"/>
    </row>
    <row r="41" spans="1:6">
      <c r="A41" s="28" t="s">
        <v>62</v>
      </c>
      <c r="B41" s="28">
        <v>1</v>
      </c>
      <c r="C41" s="28" t="s">
        <v>14</v>
      </c>
      <c r="D41" s="28"/>
      <c r="E41" s="28"/>
      <c r="F41" s="28"/>
    </row>
    <row r="43" spans="1:6" ht="15">
      <c r="A43" s="1" t="s">
        <v>317</v>
      </c>
    </row>
    <row r="44" spans="1:6" ht="15">
      <c r="A44" s="31" t="s">
        <v>333</v>
      </c>
      <c r="B44" s="19"/>
      <c r="C44" s="19"/>
      <c r="D44" s="19"/>
      <c r="E44" s="19"/>
      <c r="F44" s="19"/>
    </row>
    <row r="45" spans="1:6" ht="15">
      <c r="A45" s="18" t="s">
        <v>44</v>
      </c>
      <c r="B45" s="19"/>
      <c r="C45" s="19"/>
      <c r="D45" s="19"/>
      <c r="E45" s="19"/>
      <c r="F45" s="19"/>
    </row>
    <row r="46" spans="1:6">
      <c r="A46" s="19" t="s">
        <v>64</v>
      </c>
      <c r="B46" s="19">
        <f>20/1500</f>
        <v>1.3333333333333334E-2</v>
      </c>
      <c r="C46" s="19" t="s">
        <v>65</v>
      </c>
      <c r="D46" s="19"/>
      <c r="E46" s="19" t="s">
        <v>75</v>
      </c>
      <c r="F46" s="19" t="s">
        <v>68</v>
      </c>
    </row>
    <row r="47" spans="1:6">
      <c r="A47" s="19" t="s">
        <v>69</v>
      </c>
      <c r="B47" s="19">
        <f>2000/(20*3000*1500)</f>
        <v>2.2222222222222223E-5</v>
      </c>
      <c r="C47" s="19" t="s">
        <v>70</v>
      </c>
      <c r="D47" s="19"/>
      <c r="E47" s="19"/>
      <c r="F47" s="19" t="s">
        <v>72</v>
      </c>
    </row>
    <row r="48" spans="1:6">
      <c r="A48" s="19"/>
      <c r="B48" s="19"/>
      <c r="C48" s="19"/>
      <c r="D48" s="19"/>
      <c r="E48" s="19"/>
      <c r="F48" s="19"/>
    </row>
    <row r="49" spans="1:6" ht="15">
      <c r="A49" s="18" t="s">
        <v>76</v>
      </c>
      <c r="B49" s="19"/>
      <c r="C49" s="19"/>
      <c r="D49" s="19"/>
      <c r="E49" s="19"/>
      <c r="F49" s="19"/>
    </row>
    <row r="50" spans="1:6">
      <c r="A50" s="19" t="s">
        <v>53</v>
      </c>
      <c r="B50" s="19">
        <v>1</v>
      </c>
      <c r="C50" s="19" t="s">
        <v>73</v>
      </c>
      <c r="D50" s="19"/>
      <c r="E50" s="19"/>
      <c r="F50" s="19"/>
    </row>
    <row r="51" spans="1:6">
      <c r="A51" s="43" t="s">
        <v>334</v>
      </c>
      <c r="B51" s="43">
        <v>0.1</v>
      </c>
      <c r="C51" s="43" t="s">
        <v>14</v>
      </c>
      <c r="D51" s="19"/>
      <c r="E51" s="19"/>
      <c r="F51" s="19" t="s">
        <v>78</v>
      </c>
    </row>
    <row r="53" spans="1:6" ht="15">
      <c r="A53" s="18" t="s">
        <v>189</v>
      </c>
      <c r="B53" s="19"/>
      <c r="C53" s="19"/>
      <c r="D53" s="19"/>
      <c r="E53" s="19"/>
      <c r="F53" s="19"/>
    </row>
    <row r="54" spans="1:6" ht="15">
      <c r="A54" s="18" t="s">
        <v>44</v>
      </c>
      <c r="B54" s="19"/>
      <c r="C54" s="19"/>
      <c r="D54" s="19"/>
      <c r="E54" s="19"/>
      <c r="F54" s="19"/>
    </row>
    <row r="55" spans="1:6">
      <c r="A55" s="19" t="s">
        <v>85</v>
      </c>
      <c r="B55" s="19">
        <v>4.8703624122618545E-3</v>
      </c>
      <c r="C55" s="19" t="s">
        <v>65</v>
      </c>
      <c r="D55" s="19" t="s">
        <v>97</v>
      </c>
      <c r="E55" s="19" t="s">
        <v>98</v>
      </c>
      <c r="F55" s="19" t="s">
        <v>68</v>
      </c>
    </row>
    <row r="56" spans="1:6">
      <c r="A56" s="19" t="s">
        <v>99</v>
      </c>
      <c r="B56" s="20">
        <v>6.4102564102564103E-5</v>
      </c>
      <c r="C56" s="19" t="s">
        <v>14</v>
      </c>
      <c r="D56" s="19" t="s">
        <v>100</v>
      </c>
      <c r="E56" s="19" t="s">
        <v>101</v>
      </c>
      <c r="F56" s="19" t="s">
        <v>72</v>
      </c>
    </row>
    <row r="57" spans="1:6">
      <c r="A57" s="19"/>
      <c r="B57" s="19"/>
      <c r="C57" s="19"/>
      <c r="D57" s="19"/>
      <c r="E57" s="19"/>
      <c r="F57" s="19"/>
    </row>
    <row r="58" spans="1:6" ht="15">
      <c r="A58" s="18" t="s">
        <v>76</v>
      </c>
      <c r="B58" s="19"/>
      <c r="C58" s="19"/>
      <c r="D58" s="19"/>
      <c r="E58" s="19"/>
      <c r="F58" s="19"/>
    </row>
    <row r="59" spans="1:6">
      <c r="A59" s="19" t="s">
        <v>189</v>
      </c>
      <c r="B59" s="19">
        <v>1</v>
      </c>
      <c r="C59" s="19" t="s">
        <v>46</v>
      </c>
      <c r="D59" s="19"/>
      <c r="E59" s="19"/>
      <c r="F59" s="19"/>
    </row>
    <row r="60" spans="1:6">
      <c r="A60" s="19" t="s">
        <v>190</v>
      </c>
      <c r="B60" s="20">
        <f>0.253258845437616/1000</f>
        <v>2.5325884543761599E-4</v>
      </c>
      <c r="C60" s="19" t="s">
        <v>23</v>
      </c>
      <c r="D60" s="19"/>
      <c r="E60" s="19"/>
      <c r="F60" s="19" t="s">
        <v>104</v>
      </c>
    </row>
    <row r="61" spans="1:6">
      <c r="A61" s="19" t="s">
        <v>105</v>
      </c>
      <c r="B61" s="20">
        <v>0.2532588454376164</v>
      </c>
      <c r="C61" s="19" t="s">
        <v>14</v>
      </c>
      <c r="D61" s="19"/>
      <c r="E61" s="19"/>
      <c r="F61" s="19" t="s">
        <v>348</v>
      </c>
    </row>
    <row r="63" spans="1:6" ht="15">
      <c r="A63" s="15" t="s">
        <v>335</v>
      </c>
      <c r="B63" s="16"/>
      <c r="C63" s="16"/>
      <c r="D63" s="16"/>
      <c r="E63" s="16"/>
      <c r="F63" s="16"/>
    </row>
    <row r="64" spans="1:6" ht="15">
      <c r="A64" s="15" t="s">
        <v>44</v>
      </c>
      <c r="B64" s="16"/>
      <c r="C64" s="16"/>
      <c r="D64" s="16"/>
      <c r="E64" s="16"/>
      <c r="F64" s="16"/>
    </row>
    <row r="65" spans="1:6">
      <c r="A65" s="16" t="s">
        <v>64</v>
      </c>
      <c r="B65" s="17">
        <f>0.3*(B4+B67)</f>
        <v>7.9799999999999996E-2</v>
      </c>
      <c r="C65" s="16" t="s">
        <v>65</v>
      </c>
      <c r="D65" s="16"/>
      <c r="E65" s="16" t="s">
        <v>321</v>
      </c>
      <c r="F65" s="16" t="s">
        <v>68</v>
      </c>
    </row>
    <row r="66" spans="1:6">
      <c r="A66" s="16" t="s">
        <v>99</v>
      </c>
      <c r="B66" s="17">
        <v>2.2222222222222223E-5</v>
      </c>
      <c r="C66" s="16" t="s">
        <v>70</v>
      </c>
      <c r="D66" s="16"/>
      <c r="E66" s="16" t="s">
        <v>198</v>
      </c>
      <c r="F66" s="16" t="s">
        <v>72</v>
      </c>
    </row>
    <row r="67" spans="1:6">
      <c r="A67" s="16" t="s">
        <v>349</v>
      </c>
      <c r="B67" s="17">
        <f>(B4*(1-B5)-B4*0.2)/0.2</f>
        <v>0.16599999999999998</v>
      </c>
      <c r="C67" s="16" t="s">
        <v>360</v>
      </c>
      <c r="D67" s="16"/>
      <c r="E67" s="16"/>
      <c r="F67" s="16" t="s">
        <v>201</v>
      </c>
    </row>
    <row r="68" spans="1:6">
      <c r="A68" s="16"/>
      <c r="B68" s="16"/>
      <c r="C68" s="16"/>
      <c r="D68" s="16"/>
      <c r="E68" s="16"/>
      <c r="F68" s="16"/>
    </row>
    <row r="69" spans="1:6" ht="15">
      <c r="A69" s="15" t="s">
        <v>61</v>
      </c>
      <c r="B69" s="16"/>
      <c r="C69" s="16"/>
      <c r="D69" s="16"/>
      <c r="E69" s="16"/>
      <c r="F69" s="16"/>
    </row>
    <row r="70" spans="1:6">
      <c r="A70" s="16" t="s">
        <v>361</v>
      </c>
      <c r="B70" s="16">
        <v>1</v>
      </c>
      <c r="C70" s="16" t="s">
        <v>46</v>
      </c>
      <c r="D70" s="16"/>
      <c r="E70" s="16"/>
      <c r="F70" s="16"/>
    </row>
    <row r="71" spans="1:6">
      <c r="A71" s="16" t="s">
        <v>203</v>
      </c>
      <c r="B71" s="17">
        <f>B4*(1-B5)*B7/(1-B10)</f>
        <v>0.16158878504672902</v>
      </c>
      <c r="C71" s="16" t="s">
        <v>14</v>
      </c>
      <c r="D71" s="16"/>
      <c r="E71" s="16"/>
      <c r="F71" s="16"/>
    </row>
    <row r="72" spans="1:6">
      <c r="A72" s="16" t="s">
        <v>204</v>
      </c>
      <c r="B72" s="17">
        <f>(B4+B67)-(B71+B73+B74)</f>
        <v>0.10345361495327099</v>
      </c>
      <c r="C72" s="16" t="s">
        <v>14</v>
      </c>
      <c r="D72" s="16"/>
      <c r="E72" s="16"/>
      <c r="F72" s="16"/>
    </row>
    <row r="73" spans="1:6">
      <c r="A73" s="16" t="s">
        <v>92</v>
      </c>
      <c r="B73" s="17">
        <f>B4*(1-B5)*B9*0.95</f>
        <v>9.0971999999999993E-4</v>
      </c>
      <c r="C73" s="16" t="s">
        <v>14</v>
      </c>
      <c r="D73" s="16"/>
      <c r="E73" s="16" t="s">
        <v>205</v>
      </c>
      <c r="F73" s="16"/>
    </row>
    <row r="74" spans="1:6">
      <c r="A74" s="16" t="s">
        <v>133</v>
      </c>
      <c r="B74" s="17">
        <f>B4*(1-B5)*B9*0.05</f>
        <v>4.7880000000000002E-5</v>
      </c>
      <c r="C74" s="16" t="s">
        <v>14</v>
      </c>
      <c r="D74" s="16"/>
      <c r="E74" s="16"/>
      <c r="F74" s="16"/>
    </row>
    <row r="76" spans="1:6" ht="15">
      <c r="A76" s="12" t="s">
        <v>206</v>
      </c>
      <c r="B76" s="11"/>
      <c r="C76" s="11"/>
      <c r="D76" s="11"/>
      <c r="E76" s="11"/>
      <c r="F76" s="11"/>
    </row>
    <row r="77" spans="1:6" ht="15">
      <c r="A77" s="12" t="s">
        <v>44</v>
      </c>
      <c r="B77" s="11"/>
      <c r="C77" s="11"/>
      <c r="D77" s="11"/>
      <c r="E77" s="11"/>
      <c r="F77" s="11"/>
    </row>
    <row r="78" spans="1:6">
      <c r="A78" s="11" t="s">
        <v>64</v>
      </c>
      <c r="B78" s="14">
        <f>(B71 - (B71 * (1 - B10) / (1 - 0.1))) * (2260 / (0.7 * 3600))</f>
        <v>0.11045890158070849</v>
      </c>
      <c r="C78" s="11" t="s">
        <v>65</v>
      </c>
      <c r="D78" s="11"/>
      <c r="E78" s="11" t="s">
        <v>207</v>
      </c>
      <c r="F78" s="11" t="s">
        <v>68</v>
      </c>
    </row>
    <row r="79" spans="1:6">
      <c r="A79" s="11" t="s">
        <v>208</v>
      </c>
      <c r="B79" s="14">
        <v>2.1367521367521368E-5</v>
      </c>
      <c r="C79" s="11" t="s">
        <v>14</v>
      </c>
      <c r="D79" s="11"/>
      <c r="E79" s="11" t="s">
        <v>209</v>
      </c>
      <c r="F79" s="11" t="s">
        <v>72</v>
      </c>
    </row>
    <row r="80" spans="1:6">
      <c r="A80" s="11"/>
      <c r="B80" s="11"/>
      <c r="C80" s="11"/>
      <c r="D80" s="11"/>
      <c r="E80" s="11"/>
      <c r="F80" s="11"/>
    </row>
    <row r="81" spans="1:6" ht="15">
      <c r="A81" s="12" t="s">
        <v>61</v>
      </c>
      <c r="B81" s="11"/>
      <c r="C81" s="11"/>
      <c r="D81" s="11"/>
      <c r="E81" s="11"/>
      <c r="F81" s="11"/>
    </row>
    <row r="82" spans="1:6">
      <c r="A82" s="11" t="s">
        <v>180</v>
      </c>
      <c r="B82" s="11">
        <v>1</v>
      </c>
      <c r="C82" s="11" t="s">
        <v>46</v>
      </c>
      <c r="D82" s="11"/>
      <c r="E82" s="11"/>
      <c r="F82" s="11"/>
    </row>
    <row r="83" spans="1:6">
      <c r="A83" s="11" t="s">
        <v>210</v>
      </c>
      <c r="B83" s="14">
        <f>(B71*(1-B10))/0.9</f>
        <v>3.8422222222222226E-2</v>
      </c>
      <c r="C83" s="11" t="s">
        <v>14</v>
      </c>
      <c r="D83" s="11"/>
      <c r="E83" s="11"/>
      <c r="F83" s="11"/>
    </row>
    <row r="84" spans="1:6">
      <c r="A84" s="11" t="s">
        <v>212</v>
      </c>
      <c r="B84" s="14">
        <f>(B71-B83)/1000</f>
        <v>1.231665628245068E-4</v>
      </c>
      <c r="C84" s="11" t="s">
        <v>23</v>
      </c>
      <c r="D84" s="11"/>
      <c r="E84" s="11" t="s">
        <v>322</v>
      </c>
      <c r="F84" s="11" t="s">
        <v>104</v>
      </c>
    </row>
    <row r="86" spans="1:6" ht="15">
      <c r="A86" s="21" t="s">
        <v>213</v>
      </c>
      <c r="B86" s="22"/>
      <c r="C86" s="22"/>
      <c r="D86" s="21" t="s">
        <v>167</v>
      </c>
      <c r="E86" s="22"/>
      <c r="F86" s="22"/>
    </row>
    <row r="87" spans="1:6" ht="15">
      <c r="A87" s="21" t="s">
        <v>44</v>
      </c>
      <c r="B87" s="22"/>
      <c r="C87" s="22"/>
      <c r="D87" s="22"/>
      <c r="E87" s="22"/>
      <c r="F87" s="22"/>
    </row>
    <row r="88" spans="1:6">
      <c r="A88" s="22" t="s">
        <v>85</v>
      </c>
      <c r="B88" s="22">
        <v>5.2249999999999996E-3</v>
      </c>
      <c r="C88" s="22" t="s">
        <v>86</v>
      </c>
      <c r="D88" s="22"/>
      <c r="E88" s="22"/>
      <c r="F88" s="22" t="s">
        <v>68</v>
      </c>
    </row>
    <row r="89" spans="1:6">
      <c r="A89" s="22" t="s">
        <v>214</v>
      </c>
      <c r="B89" s="22">
        <v>9.3749999999999997E-3</v>
      </c>
      <c r="C89" s="22" t="s">
        <v>14</v>
      </c>
      <c r="D89" s="22"/>
      <c r="E89" s="22"/>
      <c r="F89" s="22" t="s">
        <v>215</v>
      </c>
    </row>
    <row r="90" spans="1:6">
      <c r="A90" s="22" t="s">
        <v>216</v>
      </c>
      <c r="B90" s="23">
        <v>6.9499999999999998E-10</v>
      </c>
      <c r="C90" s="22" t="s">
        <v>46</v>
      </c>
      <c r="D90" s="22"/>
      <c r="E90" s="22"/>
      <c r="F90" s="22" t="s">
        <v>217</v>
      </c>
    </row>
    <row r="91" spans="1:6">
      <c r="A91" s="22"/>
      <c r="B91" s="23"/>
      <c r="C91" s="22"/>
      <c r="D91" s="22"/>
      <c r="E91" s="22"/>
      <c r="F91" s="22"/>
    </row>
    <row r="92" spans="1:6" ht="15">
      <c r="A92" s="21" t="s">
        <v>61</v>
      </c>
      <c r="B92" s="22"/>
      <c r="C92" s="22"/>
      <c r="D92" s="22"/>
      <c r="E92" s="22"/>
      <c r="F92" s="22"/>
    </row>
    <row r="93" spans="1:6">
      <c r="A93" s="22" t="s">
        <v>218</v>
      </c>
      <c r="B93" s="22">
        <v>1</v>
      </c>
      <c r="C93" s="22" t="s">
        <v>46</v>
      </c>
      <c r="D93" s="22"/>
      <c r="E93" s="22"/>
      <c r="F93" s="22"/>
    </row>
    <row r="94" spans="1:6">
      <c r="A94" s="22" t="s">
        <v>219</v>
      </c>
      <c r="B94" s="22">
        <v>0</v>
      </c>
      <c r="C94" s="22" t="s">
        <v>50</v>
      </c>
      <c r="D94" s="22"/>
      <c r="E94" s="22" t="s">
        <v>220</v>
      </c>
      <c r="F94" s="22"/>
    </row>
    <row r="95" spans="1:6">
      <c r="A95" s="22" t="s">
        <v>221</v>
      </c>
      <c r="B95" s="22">
        <v>3.6250000000000002E-3</v>
      </c>
      <c r="C95" s="22" t="s">
        <v>14</v>
      </c>
      <c r="D95" s="22"/>
      <c r="E95" s="22"/>
      <c r="F95" s="22" t="s">
        <v>223</v>
      </c>
    </row>
    <row r="96" spans="1:6">
      <c r="A96" s="22" t="s">
        <v>224</v>
      </c>
      <c r="B96" s="23">
        <v>6.2500000000000005E-7</v>
      </c>
      <c r="C96" s="22" t="s">
        <v>14</v>
      </c>
      <c r="D96" s="22"/>
      <c r="E96" s="22"/>
      <c r="F96" s="22"/>
    </row>
    <row r="97" spans="1:6">
      <c r="A97" s="22" t="s">
        <v>226</v>
      </c>
      <c r="B97" s="23">
        <v>1.3375E-5</v>
      </c>
      <c r="C97" s="22" t="s">
        <v>14</v>
      </c>
      <c r="D97" s="22"/>
      <c r="E97" s="22"/>
      <c r="F97" s="22"/>
    </row>
    <row r="98" spans="1:6">
      <c r="A98" s="22" t="s">
        <v>227</v>
      </c>
      <c r="B98" s="23">
        <v>1.9749999999999999E-9</v>
      </c>
      <c r="C98" s="22" t="s">
        <v>14</v>
      </c>
      <c r="D98" s="22"/>
      <c r="E98" s="22"/>
      <c r="F98" s="22"/>
    </row>
    <row r="99" spans="1:6">
      <c r="A99" s="22" t="s">
        <v>228</v>
      </c>
      <c r="B99" s="23">
        <v>1.575E-7</v>
      </c>
      <c r="C99" s="22" t="s">
        <v>14</v>
      </c>
      <c r="D99" s="22"/>
      <c r="E99" s="22"/>
      <c r="F99" s="22"/>
    </row>
    <row r="100" spans="1:6">
      <c r="A100" s="22" t="s">
        <v>229</v>
      </c>
      <c r="B100" s="23">
        <v>1.575E-9</v>
      </c>
      <c r="C100" s="22" t="s">
        <v>14</v>
      </c>
      <c r="D100" s="22"/>
      <c r="E100" s="22"/>
      <c r="F100" s="22"/>
    </row>
    <row r="101" spans="1:6">
      <c r="A101" s="22" t="s">
        <v>230</v>
      </c>
      <c r="B101" s="23">
        <v>5.9250000000000004E-7</v>
      </c>
      <c r="C101" s="22" t="s">
        <v>14</v>
      </c>
      <c r="D101" s="22"/>
      <c r="E101" s="22"/>
      <c r="F101" s="22"/>
    </row>
    <row r="102" spans="1:6">
      <c r="A102" s="22" t="s">
        <v>231</v>
      </c>
      <c r="B102" s="23">
        <v>1.185E-8</v>
      </c>
      <c r="C102" s="22" t="s">
        <v>14</v>
      </c>
      <c r="D102" s="22"/>
      <c r="E102" s="22"/>
      <c r="F102" s="22"/>
    </row>
    <row r="103" spans="1:6">
      <c r="A103" s="22" t="s">
        <v>232</v>
      </c>
      <c r="B103" s="23">
        <v>1.9749999999999999E-9</v>
      </c>
      <c r="C103" s="22" t="s">
        <v>14</v>
      </c>
      <c r="D103" s="22"/>
      <c r="E103" s="22"/>
      <c r="F103" s="22"/>
    </row>
    <row r="104" spans="1:6">
      <c r="A104" s="22" t="s">
        <v>233</v>
      </c>
      <c r="B104" s="23">
        <v>1.575E-6</v>
      </c>
      <c r="C104" s="22" t="s">
        <v>14</v>
      </c>
      <c r="D104" s="22"/>
      <c r="E104" s="22"/>
      <c r="F104" s="22"/>
    </row>
    <row r="105" spans="1:6">
      <c r="A105" s="22" t="s">
        <v>92</v>
      </c>
      <c r="B105" s="22">
        <v>0.114375</v>
      </c>
      <c r="C105" s="22" t="s">
        <v>14</v>
      </c>
      <c r="D105" s="22"/>
      <c r="E105" s="22"/>
      <c r="F105" s="22"/>
    </row>
    <row r="106" spans="1:6">
      <c r="A106" s="22" t="s">
        <v>133</v>
      </c>
      <c r="B106" s="23">
        <v>1.25E-4</v>
      </c>
      <c r="C106" s="22" t="s">
        <v>14</v>
      </c>
      <c r="D106" s="22"/>
      <c r="E106" s="22"/>
      <c r="F106" s="22"/>
    </row>
    <row r="107" spans="1:6">
      <c r="A107" s="22" t="s">
        <v>234</v>
      </c>
      <c r="B107" s="23">
        <v>2.8124999999999999E-8</v>
      </c>
      <c r="C107" s="22" t="s">
        <v>14</v>
      </c>
      <c r="D107" s="22"/>
      <c r="E107" s="22"/>
      <c r="F107" s="22"/>
    </row>
    <row r="108" spans="1:6">
      <c r="A108" s="22" t="s">
        <v>235</v>
      </c>
      <c r="B108" s="23">
        <v>3.4750000000000001E-9</v>
      </c>
      <c r="C108" s="22" t="s">
        <v>14</v>
      </c>
      <c r="D108" s="22"/>
      <c r="E108" s="22"/>
      <c r="F108" s="22"/>
    </row>
    <row r="109" spans="1:6">
      <c r="A109" s="22" t="s">
        <v>236</v>
      </c>
      <c r="B109" s="23">
        <v>3.9499999999999998E-9</v>
      </c>
      <c r="C109" s="22" t="s">
        <v>14</v>
      </c>
      <c r="D109" s="22"/>
      <c r="E109" s="22"/>
      <c r="F109" s="22"/>
    </row>
    <row r="110" spans="1:6">
      <c r="A110" s="22" t="s">
        <v>237</v>
      </c>
      <c r="B110" s="23">
        <v>2.0750000000000001E-8</v>
      </c>
      <c r="C110" s="22" t="s">
        <v>14</v>
      </c>
      <c r="D110" s="22"/>
      <c r="E110" s="22"/>
      <c r="F110" s="22"/>
    </row>
    <row r="111" spans="1:6">
      <c r="A111" s="22" t="s">
        <v>93</v>
      </c>
      <c r="B111" s="23">
        <v>1.2500000000000001E-6</v>
      </c>
      <c r="C111" s="22" t="s">
        <v>14</v>
      </c>
      <c r="D111" s="22"/>
      <c r="E111" s="22"/>
      <c r="F111" s="22"/>
    </row>
    <row r="112" spans="1:6">
      <c r="A112" s="22" t="s">
        <v>134</v>
      </c>
      <c r="B112" s="23">
        <v>2.5000000000000001E-14</v>
      </c>
      <c r="C112" s="22" t="s">
        <v>14</v>
      </c>
      <c r="D112" s="22"/>
      <c r="E112" s="22"/>
      <c r="F112" s="22"/>
    </row>
    <row r="113" spans="1:6">
      <c r="A113" s="22" t="s">
        <v>135</v>
      </c>
      <c r="B113" s="23">
        <v>9.9999999999999995E-8</v>
      </c>
      <c r="C113" s="22" t="s">
        <v>14</v>
      </c>
      <c r="D113" s="22"/>
      <c r="E113" s="22"/>
      <c r="F113" s="22"/>
    </row>
    <row r="114" spans="1:6">
      <c r="A114" s="22" t="s">
        <v>238</v>
      </c>
      <c r="B114" s="23">
        <v>6.2500000000000005E-7</v>
      </c>
      <c r="C114" s="22" t="s">
        <v>14</v>
      </c>
      <c r="D114" s="22"/>
      <c r="E114" s="22"/>
      <c r="F114" s="22"/>
    </row>
    <row r="115" spans="1:6">
      <c r="A115" s="22" t="s">
        <v>239</v>
      </c>
      <c r="B115" s="23">
        <v>6.2500000000000005E-7</v>
      </c>
      <c r="C115" s="22" t="s">
        <v>14</v>
      </c>
      <c r="D115" s="22"/>
      <c r="E115" s="22"/>
      <c r="F115" s="22"/>
    </row>
    <row r="116" spans="1:6">
      <c r="A116" s="22" t="s">
        <v>240</v>
      </c>
      <c r="B116" s="23">
        <v>5.0624999999999997E-5</v>
      </c>
      <c r="C116" s="22" t="s">
        <v>14</v>
      </c>
      <c r="D116" s="22"/>
      <c r="E116" s="22"/>
      <c r="F116" s="22"/>
    </row>
    <row r="117" spans="1:6">
      <c r="A117" s="22" t="s">
        <v>241</v>
      </c>
      <c r="B117" s="23">
        <v>1.575E-6</v>
      </c>
      <c r="C117" s="22" t="s">
        <v>14</v>
      </c>
      <c r="D117" s="22"/>
      <c r="E117" s="22"/>
      <c r="F117" s="22"/>
    </row>
    <row r="118" spans="1:6">
      <c r="A118" s="22" t="s">
        <v>242</v>
      </c>
      <c r="B118" s="23">
        <v>1.425E-8</v>
      </c>
      <c r="C118" s="22" t="s">
        <v>14</v>
      </c>
      <c r="D118" s="22"/>
      <c r="E118" s="22"/>
      <c r="F118" s="22"/>
    </row>
    <row r="119" spans="1:6">
      <c r="A119" s="22" t="s">
        <v>243</v>
      </c>
      <c r="B119" s="23">
        <v>5.5249999999999996E-6</v>
      </c>
      <c r="C119" s="22" t="s">
        <v>14</v>
      </c>
      <c r="D119" s="22"/>
      <c r="E119" s="22"/>
      <c r="F119" s="22"/>
    </row>
    <row r="120" spans="1:6">
      <c r="A120" s="22" t="s">
        <v>244</v>
      </c>
      <c r="B120" s="23">
        <v>4.7375E-6</v>
      </c>
      <c r="C120" s="22" t="s">
        <v>14</v>
      </c>
      <c r="D120" s="22"/>
      <c r="E120" s="22"/>
      <c r="F120" s="22"/>
    </row>
    <row r="121" spans="1:6">
      <c r="A121" s="22" t="s">
        <v>245</v>
      </c>
      <c r="B121" s="23">
        <v>2.7625000000000001E-8</v>
      </c>
      <c r="C121" s="22" t="s">
        <v>14</v>
      </c>
      <c r="D121" s="22"/>
      <c r="E121" s="22"/>
      <c r="F121" s="22"/>
    </row>
    <row r="122" spans="1:6">
      <c r="A122" s="22" t="s">
        <v>95</v>
      </c>
      <c r="B122" s="23">
        <v>1.2500000000000001E-5</v>
      </c>
      <c r="C122" s="22" t="s">
        <v>14</v>
      </c>
      <c r="D122" s="22"/>
      <c r="E122" s="22"/>
      <c r="F122" s="22"/>
    </row>
    <row r="123" spans="1:6">
      <c r="A123" s="22" t="s">
        <v>246</v>
      </c>
      <c r="B123" s="23">
        <v>5.9250000000000001E-9</v>
      </c>
      <c r="C123" s="22" t="s">
        <v>14</v>
      </c>
      <c r="D123" s="22"/>
      <c r="E123" s="22"/>
      <c r="F123" s="22"/>
    </row>
    <row r="124" spans="1:6">
      <c r="A124" s="22" t="s">
        <v>247</v>
      </c>
      <c r="B124" s="23">
        <v>2.3750000000000001E-8</v>
      </c>
      <c r="C124" s="22" t="s">
        <v>14</v>
      </c>
      <c r="D124" s="22"/>
      <c r="E124" s="22"/>
      <c r="F124" s="22"/>
    </row>
    <row r="125" spans="1:6">
      <c r="A125" s="22" t="s">
        <v>139</v>
      </c>
      <c r="B125" s="23">
        <v>2.5000000000000001E-4</v>
      </c>
      <c r="C125" s="22" t="s">
        <v>14</v>
      </c>
      <c r="D125" s="22"/>
      <c r="E125" s="22"/>
      <c r="F125" s="22"/>
    </row>
    <row r="126" spans="1:6">
      <c r="A126" s="22" t="s">
        <v>141</v>
      </c>
      <c r="B126" s="23">
        <v>2.5000000000000001E-5</v>
      </c>
      <c r="C126" s="22" t="s">
        <v>14</v>
      </c>
      <c r="D126" s="22"/>
      <c r="E126" s="22"/>
      <c r="F126" s="22"/>
    </row>
    <row r="127" spans="1:6">
      <c r="A127" s="22" t="s">
        <v>248</v>
      </c>
      <c r="B127" s="23">
        <v>1.2500000000000001E-5</v>
      </c>
      <c r="C127" s="22" t="s">
        <v>14</v>
      </c>
      <c r="D127" s="22"/>
      <c r="E127" s="22"/>
      <c r="F127" s="22"/>
    </row>
    <row r="128" spans="1:6">
      <c r="A128" s="22" t="s">
        <v>249</v>
      </c>
      <c r="B128" s="23">
        <v>2.5000000000000001E-5</v>
      </c>
      <c r="C128" s="22" t="s">
        <v>14</v>
      </c>
      <c r="D128" s="22"/>
      <c r="E128" s="22"/>
      <c r="F128" s="22"/>
    </row>
    <row r="129" spans="1:6">
      <c r="A129" s="22" t="s">
        <v>250</v>
      </c>
      <c r="B129" s="23">
        <v>7.9000000000000006E-8</v>
      </c>
      <c r="C129" s="22" t="s">
        <v>14</v>
      </c>
      <c r="D129" s="22"/>
      <c r="E129" s="22"/>
      <c r="F129" s="22"/>
    </row>
    <row r="130" spans="1:6">
      <c r="A130" s="22" t="s">
        <v>251</v>
      </c>
      <c r="B130" s="23">
        <v>1.575E-6</v>
      </c>
      <c r="C130" s="22" t="s">
        <v>14</v>
      </c>
      <c r="D130" s="22"/>
      <c r="E130" s="22"/>
      <c r="F130" s="22"/>
    </row>
    <row r="131" spans="1:6">
      <c r="A131" s="22" t="s">
        <v>252</v>
      </c>
      <c r="B131" s="23">
        <v>1.6875E-5</v>
      </c>
      <c r="C131" s="22" t="s">
        <v>253</v>
      </c>
      <c r="D131" s="22"/>
      <c r="E131" s="22"/>
      <c r="F131" s="22"/>
    </row>
    <row r="132" spans="1:6">
      <c r="A132" s="22" t="s">
        <v>254</v>
      </c>
      <c r="B132" s="23">
        <v>1.575E-9</v>
      </c>
      <c r="C132" s="22" t="s">
        <v>14</v>
      </c>
      <c r="D132" s="22"/>
      <c r="E132" s="22"/>
      <c r="F132" s="22"/>
    </row>
    <row r="133" spans="1:6">
      <c r="A133" s="22" t="s">
        <v>255</v>
      </c>
      <c r="B133" s="23">
        <v>1.185E-8</v>
      </c>
      <c r="C133" s="22" t="s">
        <v>14</v>
      </c>
      <c r="D133" s="22"/>
      <c r="E133" s="22"/>
      <c r="F133" s="22"/>
    </row>
    <row r="134" spans="1:6">
      <c r="A134" s="22" t="s">
        <v>256</v>
      </c>
      <c r="B134" s="23">
        <v>1.9749999999999999E-5</v>
      </c>
      <c r="C134" s="22" t="s">
        <v>14</v>
      </c>
      <c r="D134" s="22"/>
      <c r="E134" s="22"/>
      <c r="F134" s="22"/>
    </row>
    <row r="135" spans="1:6">
      <c r="A135" s="22" t="s">
        <v>257</v>
      </c>
      <c r="B135" s="23">
        <v>7.8999999999999995E-7</v>
      </c>
      <c r="C135" s="22" t="s">
        <v>14</v>
      </c>
      <c r="D135" s="22"/>
      <c r="E135" s="22"/>
      <c r="F135" s="22"/>
    </row>
    <row r="136" spans="1:6">
      <c r="A136" s="22" t="s">
        <v>258</v>
      </c>
      <c r="B136" s="23">
        <v>2.375E-7</v>
      </c>
      <c r="C136" s="22" t="s">
        <v>14</v>
      </c>
      <c r="D136" s="22"/>
      <c r="E136" s="22"/>
      <c r="F136" s="22"/>
    </row>
    <row r="137" spans="1:6">
      <c r="A137" s="38" t="s">
        <v>120</v>
      </c>
      <c r="B137" s="51">
        <v>0</v>
      </c>
      <c r="C137" s="38" t="s">
        <v>14</v>
      </c>
      <c r="D137" s="22"/>
      <c r="E137" s="22"/>
      <c r="F137" s="22"/>
    </row>
    <row r="138" spans="1:6">
      <c r="A138" s="22" t="s">
        <v>259</v>
      </c>
      <c r="B138" s="23">
        <v>1.9749999999999999E-9</v>
      </c>
      <c r="C138" s="22" t="s">
        <v>14</v>
      </c>
      <c r="D138" s="22"/>
      <c r="E138" s="22"/>
      <c r="F138" s="22"/>
    </row>
    <row r="139" spans="1:6">
      <c r="A139" s="22" t="s">
        <v>260</v>
      </c>
      <c r="B139" s="23">
        <v>7.8999999999999996E-10</v>
      </c>
      <c r="C139" s="22" t="s">
        <v>14</v>
      </c>
      <c r="D139" s="22"/>
      <c r="E139" s="22"/>
      <c r="F139" s="22"/>
    </row>
    <row r="140" spans="1:6">
      <c r="A140" s="22" t="s">
        <v>261</v>
      </c>
      <c r="B140" s="23">
        <v>4.7375000000000002E-7</v>
      </c>
      <c r="C140" s="22" t="s">
        <v>14</v>
      </c>
      <c r="D140" s="22"/>
      <c r="E140" s="22"/>
      <c r="F140" s="22"/>
    </row>
    <row r="141" spans="1:6">
      <c r="A141" s="22" t="s">
        <v>262</v>
      </c>
      <c r="B141" s="23">
        <v>4.7374999999999999E-8</v>
      </c>
      <c r="C141" s="22" t="s">
        <v>14</v>
      </c>
      <c r="D141" s="22"/>
      <c r="E141" s="22"/>
      <c r="F141" s="22"/>
    </row>
    <row r="142" spans="1:6">
      <c r="A142" s="22" t="s">
        <v>263</v>
      </c>
      <c r="B142" s="23">
        <v>1.125E-6</v>
      </c>
      <c r="C142" s="22" t="s">
        <v>23</v>
      </c>
      <c r="D142" s="22"/>
      <c r="E142" s="22"/>
      <c r="F142" s="22"/>
    </row>
    <row r="143" spans="1:6">
      <c r="A143" s="22" t="s">
        <v>263</v>
      </c>
      <c r="B143" s="23">
        <v>6.3749999999999999E-6</v>
      </c>
      <c r="C143" s="22" t="s">
        <v>23</v>
      </c>
      <c r="D143" s="22"/>
      <c r="E143" s="22"/>
      <c r="F143" s="22"/>
    </row>
    <row r="144" spans="1:6">
      <c r="A144" s="22" t="s">
        <v>264</v>
      </c>
      <c r="B144" s="23">
        <v>3.9499999999999998E-9</v>
      </c>
      <c r="C144" s="22" t="s">
        <v>14</v>
      </c>
      <c r="D144" s="22"/>
      <c r="E144" s="22"/>
      <c r="F144" s="22"/>
    </row>
    <row r="145" spans="1:6">
      <c r="A145" s="22" t="s">
        <v>265</v>
      </c>
      <c r="B145" s="23">
        <v>2.1500000000000002E-6</v>
      </c>
      <c r="C145" s="22" t="s">
        <v>14</v>
      </c>
      <c r="D145" s="22"/>
      <c r="E145" s="22"/>
      <c r="F145" s="22"/>
    </row>
    <row r="146" spans="1:6">
      <c r="A146" s="22" t="s">
        <v>266</v>
      </c>
      <c r="B146" s="23">
        <v>1.875E-6</v>
      </c>
      <c r="C146" s="22" t="s">
        <v>14</v>
      </c>
      <c r="D146" s="22"/>
      <c r="E146" s="22"/>
      <c r="F146" s="22"/>
    </row>
    <row r="147" spans="1:6">
      <c r="A147" s="22" t="s">
        <v>267</v>
      </c>
      <c r="B147" s="23">
        <v>3.7500000000000001E-6</v>
      </c>
      <c r="C147" s="22" t="s">
        <v>14</v>
      </c>
      <c r="D147" s="22"/>
      <c r="E147" s="22"/>
      <c r="F147" s="22"/>
    </row>
    <row r="148" spans="1:6">
      <c r="A148" s="22" t="s">
        <v>143</v>
      </c>
      <c r="B148" s="23">
        <v>1.2500000000000001E-6</v>
      </c>
      <c r="C148" s="22" t="s">
        <v>14</v>
      </c>
      <c r="D148" s="22"/>
      <c r="E148" s="22"/>
      <c r="F148" s="22"/>
    </row>
    <row r="149" spans="1:6">
      <c r="A149" s="22" t="s">
        <v>268</v>
      </c>
      <c r="B149" s="23">
        <v>6.2500000000000005E-7</v>
      </c>
      <c r="C149" s="22" t="s">
        <v>14</v>
      </c>
      <c r="D149" s="22"/>
      <c r="E149" s="22"/>
      <c r="F149" s="22"/>
    </row>
    <row r="151" spans="1:6" ht="15">
      <c r="A151" s="15" t="s">
        <v>269</v>
      </c>
      <c r="B151" s="16"/>
      <c r="C151" s="16"/>
      <c r="D151" s="16"/>
      <c r="E151" s="16"/>
      <c r="F151" s="16"/>
    </row>
    <row r="152" spans="1:6" ht="15">
      <c r="A152" s="15" t="s">
        <v>44</v>
      </c>
      <c r="B152" s="16"/>
      <c r="C152" s="16"/>
      <c r="D152" s="16"/>
      <c r="E152" s="16"/>
      <c r="F152" s="16"/>
    </row>
    <row r="153" spans="1:6">
      <c r="A153" s="16" t="s">
        <v>85</v>
      </c>
      <c r="B153" s="16">
        <v>5.2249999999999996E-3</v>
      </c>
      <c r="C153" s="16" t="s">
        <v>86</v>
      </c>
      <c r="D153" s="16"/>
      <c r="E153" s="16"/>
      <c r="F153" s="16" t="s">
        <v>68</v>
      </c>
    </row>
    <row r="154" spans="1:6">
      <c r="A154" s="16" t="s">
        <v>270</v>
      </c>
      <c r="B154" s="16">
        <v>4.3249999999999997E-2</v>
      </c>
      <c r="C154" s="16" t="s">
        <v>14</v>
      </c>
      <c r="D154" s="16"/>
      <c r="E154" s="16"/>
      <c r="F154" s="16" t="s">
        <v>271</v>
      </c>
    </row>
    <row r="155" spans="1:6">
      <c r="A155" s="16" t="s">
        <v>216</v>
      </c>
      <c r="B155" s="17">
        <v>6.9499999999999998E-10</v>
      </c>
      <c r="C155" s="16" t="s">
        <v>46</v>
      </c>
      <c r="D155" s="16"/>
      <c r="E155" s="16"/>
      <c r="F155" s="16" t="s">
        <v>217</v>
      </c>
    </row>
    <row r="156" spans="1:6">
      <c r="A156" s="16" t="s">
        <v>214</v>
      </c>
      <c r="B156" s="16">
        <v>9.3749999999999997E-3</v>
      </c>
      <c r="C156" s="16" t="s">
        <v>14</v>
      </c>
      <c r="D156" s="16"/>
      <c r="E156" s="16"/>
      <c r="F156" s="16" t="s">
        <v>215</v>
      </c>
    </row>
    <row r="157" spans="1:6">
      <c r="A157" s="16"/>
      <c r="B157" s="16"/>
      <c r="C157" s="16"/>
      <c r="D157" s="16"/>
      <c r="E157" s="16"/>
      <c r="F157" s="16"/>
    </row>
    <row r="158" spans="1:6" ht="15">
      <c r="A158" s="15" t="s">
        <v>61</v>
      </c>
      <c r="B158" s="16"/>
      <c r="C158" s="16"/>
      <c r="D158" s="16"/>
      <c r="E158" s="16"/>
      <c r="F158" s="16"/>
    </row>
    <row r="159" spans="1:6">
      <c r="A159" s="16" t="s">
        <v>219</v>
      </c>
      <c r="B159" s="16">
        <v>1</v>
      </c>
      <c r="C159" s="16" t="s">
        <v>50</v>
      </c>
      <c r="D159" s="16"/>
      <c r="E159" s="16"/>
      <c r="F159" s="16"/>
    </row>
    <row r="160" spans="1:6">
      <c r="A160" s="16" t="s">
        <v>221</v>
      </c>
      <c r="B160" s="16">
        <v>3.6250000000000002E-3</v>
      </c>
      <c r="C160" s="16" t="s">
        <v>14</v>
      </c>
      <c r="D160" s="16"/>
      <c r="E160" s="16"/>
      <c r="F160" s="16" t="s">
        <v>223</v>
      </c>
    </row>
    <row r="161" spans="1:6">
      <c r="A161" s="16" t="s">
        <v>224</v>
      </c>
      <c r="B161" s="17">
        <v>6.2500000000000005E-7</v>
      </c>
      <c r="C161" s="16" t="s">
        <v>14</v>
      </c>
      <c r="D161" s="16"/>
      <c r="E161" s="16"/>
      <c r="F161" s="16"/>
    </row>
    <row r="162" spans="1:6">
      <c r="A162" s="16" t="s">
        <v>226</v>
      </c>
      <c r="B162" s="17">
        <v>1.3375E-5</v>
      </c>
      <c r="C162" s="16" t="s">
        <v>14</v>
      </c>
      <c r="D162" s="16"/>
      <c r="E162" s="16"/>
      <c r="F162" s="16"/>
    </row>
    <row r="163" spans="1:6">
      <c r="A163" s="16" t="s">
        <v>227</v>
      </c>
      <c r="B163" s="17">
        <v>1.9749999999999999E-9</v>
      </c>
      <c r="C163" s="16" t="s">
        <v>14</v>
      </c>
      <c r="D163" s="16"/>
      <c r="E163" s="16"/>
      <c r="F163" s="16"/>
    </row>
    <row r="164" spans="1:6">
      <c r="A164" s="16" t="s">
        <v>272</v>
      </c>
      <c r="B164" s="17">
        <v>3.1625E-8</v>
      </c>
      <c r="C164" s="16" t="s">
        <v>14</v>
      </c>
      <c r="D164" s="16"/>
      <c r="E164" s="16"/>
      <c r="F164" s="16"/>
    </row>
    <row r="165" spans="1:6">
      <c r="A165" s="16" t="s">
        <v>228</v>
      </c>
      <c r="B165" s="17">
        <v>1.575E-7</v>
      </c>
      <c r="C165" s="16" t="s">
        <v>14</v>
      </c>
      <c r="D165" s="16"/>
      <c r="E165" s="16"/>
      <c r="F165" s="16"/>
    </row>
    <row r="166" spans="1:6">
      <c r="A166" s="16" t="s">
        <v>130</v>
      </c>
      <c r="B166" s="17">
        <v>6.2500000000000005E-7</v>
      </c>
      <c r="C166" s="16" t="s">
        <v>14</v>
      </c>
      <c r="D166" s="16"/>
      <c r="E166" s="16"/>
      <c r="F166" s="16"/>
    </row>
    <row r="167" spans="1:6">
      <c r="A167" s="16" t="s">
        <v>131</v>
      </c>
      <c r="B167" s="17">
        <v>1.25E-11</v>
      </c>
      <c r="C167" s="16" t="s">
        <v>14</v>
      </c>
      <c r="D167" s="16"/>
      <c r="E167" s="16"/>
      <c r="F167" s="16"/>
    </row>
    <row r="168" spans="1:6">
      <c r="A168" s="16" t="s">
        <v>229</v>
      </c>
      <c r="B168" s="17">
        <v>1.575E-9</v>
      </c>
      <c r="C168" s="16" t="s">
        <v>14</v>
      </c>
      <c r="D168" s="16"/>
      <c r="E168" s="16"/>
      <c r="F168" s="16"/>
    </row>
    <row r="169" spans="1:6">
      <c r="A169" s="16" t="s">
        <v>230</v>
      </c>
      <c r="B169" s="17">
        <v>5.9250000000000004E-7</v>
      </c>
      <c r="C169" s="16" t="s">
        <v>14</v>
      </c>
      <c r="D169" s="16"/>
      <c r="E169" s="16"/>
      <c r="F169" s="16"/>
    </row>
    <row r="170" spans="1:6">
      <c r="A170" s="16" t="s">
        <v>231</v>
      </c>
      <c r="B170" s="17">
        <v>1.185E-8</v>
      </c>
      <c r="C170" s="16" t="s">
        <v>14</v>
      </c>
      <c r="D170" s="16"/>
      <c r="E170" s="16"/>
      <c r="F170" s="16"/>
    </row>
    <row r="171" spans="1:6">
      <c r="A171" s="16" t="s">
        <v>232</v>
      </c>
      <c r="B171" s="17">
        <v>1.9749999999999999E-9</v>
      </c>
      <c r="C171" s="16" t="s">
        <v>14</v>
      </c>
      <c r="D171" s="16"/>
      <c r="E171" s="16"/>
      <c r="F171" s="16"/>
    </row>
    <row r="172" spans="1:6">
      <c r="A172" s="16" t="s">
        <v>233</v>
      </c>
      <c r="B172" s="17">
        <v>1.575E-6</v>
      </c>
      <c r="C172" s="16" t="s">
        <v>14</v>
      </c>
      <c r="D172" s="16"/>
      <c r="E172" s="16"/>
      <c r="F172" s="16"/>
    </row>
    <row r="173" spans="1:6">
      <c r="A173" s="16" t="s">
        <v>153</v>
      </c>
      <c r="B173" s="16">
        <v>0.114375</v>
      </c>
      <c r="C173" s="16" t="s">
        <v>14</v>
      </c>
      <c r="D173" s="16"/>
      <c r="E173" s="16"/>
      <c r="F173" s="16"/>
    </row>
    <row r="174" spans="1:6">
      <c r="A174" s="16" t="s">
        <v>154</v>
      </c>
      <c r="B174" s="17">
        <v>1.25E-4</v>
      </c>
      <c r="C174" s="16" t="s">
        <v>14</v>
      </c>
      <c r="D174" s="16"/>
      <c r="E174" s="16"/>
      <c r="F174" s="16"/>
    </row>
    <row r="175" spans="1:6">
      <c r="A175" s="16" t="s">
        <v>234</v>
      </c>
      <c r="B175" s="17">
        <v>2.8124999999999999E-8</v>
      </c>
      <c r="C175" s="16" t="s">
        <v>14</v>
      </c>
      <c r="D175" s="16"/>
      <c r="E175" s="16"/>
      <c r="F175" s="16"/>
    </row>
    <row r="176" spans="1:6">
      <c r="A176" s="16" t="s">
        <v>235</v>
      </c>
      <c r="B176" s="17">
        <v>3.4750000000000001E-9</v>
      </c>
      <c r="C176" s="16" t="s">
        <v>14</v>
      </c>
      <c r="D176" s="16"/>
      <c r="E176" s="16"/>
      <c r="F176" s="16"/>
    </row>
    <row r="177" spans="1:6">
      <c r="A177" s="16" t="s">
        <v>236</v>
      </c>
      <c r="B177" s="17">
        <v>3.9499999999999998E-9</v>
      </c>
      <c r="C177" s="16" t="s">
        <v>14</v>
      </c>
      <c r="D177" s="16"/>
      <c r="E177" s="16"/>
      <c r="F177" s="16"/>
    </row>
    <row r="178" spans="1:6">
      <c r="A178" s="16" t="s">
        <v>237</v>
      </c>
      <c r="B178" s="17">
        <v>2.0750000000000001E-8</v>
      </c>
      <c r="C178" s="16" t="s">
        <v>14</v>
      </c>
      <c r="D178" s="16"/>
      <c r="E178" s="16"/>
      <c r="F178" s="16"/>
    </row>
    <row r="179" spans="1:6">
      <c r="A179" s="16" t="s">
        <v>93</v>
      </c>
      <c r="B179" s="17">
        <v>1.2500000000000001E-6</v>
      </c>
      <c r="C179" s="16" t="s">
        <v>14</v>
      </c>
      <c r="D179" s="16"/>
      <c r="E179" s="16"/>
      <c r="F179" s="16"/>
    </row>
    <row r="180" spans="1:6">
      <c r="A180" s="16" t="s">
        <v>134</v>
      </c>
      <c r="B180" s="17">
        <v>2.5000000000000001E-14</v>
      </c>
      <c r="C180" s="16" t="s">
        <v>14</v>
      </c>
      <c r="D180" s="16"/>
      <c r="E180" s="16"/>
      <c r="F180" s="16"/>
    </row>
    <row r="181" spans="1:6">
      <c r="A181" s="16" t="s">
        <v>266</v>
      </c>
      <c r="B181" s="17">
        <v>1.875E-6</v>
      </c>
      <c r="C181" s="16" t="s">
        <v>14</v>
      </c>
      <c r="D181" s="16"/>
      <c r="E181" s="16"/>
      <c r="F181" s="16"/>
    </row>
    <row r="182" spans="1:6">
      <c r="A182" s="16" t="s">
        <v>267</v>
      </c>
      <c r="B182" s="17">
        <v>3.7500000000000001E-6</v>
      </c>
      <c r="C182" s="16" t="s">
        <v>14</v>
      </c>
      <c r="D182" s="16"/>
      <c r="E182" s="16"/>
      <c r="F182" s="16"/>
    </row>
    <row r="183" spans="1:6">
      <c r="A183" s="16" t="s">
        <v>135</v>
      </c>
      <c r="B183" s="17">
        <v>9.9999999999999995E-8</v>
      </c>
      <c r="C183" s="16" t="s">
        <v>14</v>
      </c>
      <c r="D183" s="16"/>
      <c r="E183" s="16"/>
      <c r="F183" s="16"/>
    </row>
    <row r="184" spans="1:6">
      <c r="A184" s="16" t="s">
        <v>238</v>
      </c>
      <c r="B184" s="17">
        <v>6.2500000000000005E-7</v>
      </c>
      <c r="C184" s="16" t="s">
        <v>14</v>
      </c>
      <c r="D184" s="16"/>
      <c r="E184" s="16"/>
      <c r="F184" s="16"/>
    </row>
    <row r="185" spans="1:6">
      <c r="A185" s="16" t="s">
        <v>239</v>
      </c>
      <c r="B185" s="17">
        <v>6.2500000000000005E-7</v>
      </c>
      <c r="C185" s="16" t="s">
        <v>14</v>
      </c>
      <c r="D185" s="16"/>
      <c r="E185" s="16"/>
      <c r="F185" s="16"/>
    </row>
    <row r="186" spans="1:6">
      <c r="A186" s="16" t="s">
        <v>240</v>
      </c>
      <c r="B186" s="17">
        <v>5.0624999999999997E-5</v>
      </c>
      <c r="C186" s="16" t="s">
        <v>14</v>
      </c>
      <c r="D186" s="16"/>
      <c r="E186" s="16"/>
      <c r="F186" s="16"/>
    </row>
    <row r="187" spans="1:6">
      <c r="A187" s="16" t="s">
        <v>241</v>
      </c>
      <c r="B187" s="17">
        <v>1.575E-6</v>
      </c>
      <c r="C187" s="16" t="s">
        <v>14</v>
      </c>
      <c r="D187" s="16"/>
      <c r="E187" s="16"/>
      <c r="F187" s="16"/>
    </row>
    <row r="188" spans="1:6">
      <c r="A188" s="16" t="s">
        <v>242</v>
      </c>
      <c r="B188" s="17">
        <v>1.425E-8</v>
      </c>
      <c r="C188" s="16" t="s">
        <v>14</v>
      </c>
      <c r="D188" s="16"/>
      <c r="E188" s="16"/>
      <c r="F188" s="16"/>
    </row>
    <row r="189" spans="1:6">
      <c r="A189" s="16" t="s">
        <v>243</v>
      </c>
      <c r="B189" s="17">
        <v>5.5249999999999996E-6</v>
      </c>
      <c r="C189" s="16" t="s">
        <v>14</v>
      </c>
      <c r="D189" s="16"/>
      <c r="E189" s="16"/>
      <c r="F189" s="16"/>
    </row>
    <row r="190" spans="1:6">
      <c r="A190" s="16" t="s">
        <v>273</v>
      </c>
      <c r="B190" s="17">
        <v>9.4749999999999998E-8</v>
      </c>
      <c r="C190" s="16" t="s">
        <v>14</v>
      </c>
      <c r="D190" s="16"/>
      <c r="E190" s="16"/>
      <c r="F190" s="16"/>
    </row>
    <row r="191" spans="1:6">
      <c r="A191" s="16" t="s">
        <v>274</v>
      </c>
      <c r="B191" s="17">
        <v>5.8125000000000003E-5</v>
      </c>
      <c r="C191" s="16" t="s">
        <v>253</v>
      </c>
      <c r="D191" s="16"/>
      <c r="E191" s="16"/>
      <c r="F191" s="16"/>
    </row>
    <row r="192" spans="1:6">
      <c r="A192" s="16" t="s">
        <v>244</v>
      </c>
      <c r="B192" s="17">
        <v>4.7375E-6</v>
      </c>
      <c r="C192" s="16" t="s">
        <v>14</v>
      </c>
      <c r="D192" s="16"/>
      <c r="E192" s="16"/>
      <c r="F192" s="16"/>
    </row>
    <row r="193" spans="1:6">
      <c r="A193" s="16" t="s">
        <v>245</v>
      </c>
      <c r="B193" s="17">
        <v>2.7625000000000001E-8</v>
      </c>
      <c r="C193" s="16" t="s">
        <v>14</v>
      </c>
      <c r="D193" s="16"/>
      <c r="E193" s="16"/>
      <c r="F193" s="16"/>
    </row>
    <row r="194" spans="1:6">
      <c r="A194" s="16" t="s">
        <v>136</v>
      </c>
      <c r="B194" s="17">
        <v>3.5499999999999999E-9</v>
      </c>
      <c r="C194" s="16" t="s">
        <v>14</v>
      </c>
      <c r="D194" s="16"/>
      <c r="E194" s="16"/>
      <c r="F194" s="16"/>
    </row>
    <row r="195" spans="1:6">
      <c r="A195" s="16" t="s">
        <v>155</v>
      </c>
      <c r="B195" s="17">
        <v>1.2500000000000001E-5</v>
      </c>
      <c r="C195" s="16" t="s">
        <v>14</v>
      </c>
      <c r="D195" s="16"/>
      <c r="E195" s="16"/>
      <c r="F195" s="16"/>
    </row>
    <row r="196" spans="1:6">
      <c r="A196" s="16" t="s">
        <v>246</v>
      </c>
      <c r="B196" s="17">
        <v>5.9250000000000001E-9</v>
      </c>
      <c r="C196" s="16" t="s">
        <v>14</v>
      </c>
      <c r="D196" s="16"/>
      <c r="E196" s="16"/>
      <c r="F196" s="16"/>
    </row>
    <row r="197" spans="1:6">
      <c r="A197" s="16" t="s">
        <v>247</v>
      </c>
      <c r="B197" s="17">
        <v>2.3750000000000001E-8</v>
      </c>
      <c r="C197" s="16" t="s">
        <v>14</v>
      </c>
      <c r="D197" s="16"/>
      <c r="E197" s="16"/>
      <c r="F197" s="16"/>
    </row>
    <row r="198" spans="1:6">
      <c r="A198" s="16" t="s">
        <v>139</v>
      </c>
      <c r="B198" s="17">
        <v>2.5000000000000001E-4</v>
      </c>
      <c r="C198" s="16" t="s">
        <v>14</v>
      </c>
      <c r="D198" s="16"/>
      <c r="E198" s="16"/>
      <c r="F198" s="16"/>
    </row>
    <row r="199" spans="1:6">
      <c r="A199" s="16" t="s">
        <v>265</v>
      </c>
      <c r="B199" s="17">
        <v>2.1500000000000002E-6</v>
      </c>
      <c r="C199" s="16" t="s">
        <v>14</v>
      </c>
      <c r="D199" s="16"/>
      <c r="E199" s="16"/>
      <c r="F199" s="16"/>
    </row>
    <row r="200" spans="1:6">
      <c r="A200" s="16" t="s">
        <v>141</v>
      </c>
      <c r="B200" s="17">
        <v>2.5000000000000001E-5</v>
      </c>
      <c r="C200" s="16" t="s">
        <v>14</v>
      </c>
      <c r="D200" s="16"/>
      <c r="E200" s="16"/>
      <c r="F200" s="16"/>
    </row>
    <row r="201" spans="1:6">
      <c r="A201" s="16" t="s">
        <v>248</v>
      </c>
      <c r="B201" s="17">
        <v>1.2500000000000001E-5</v>
      </c>
      <c r="C201" s="16" t="s">
        <v>14</v>
      </c>
      <c r="D201" s="16"/>
      <c r="E201" s="16"/>
      <c r="F201" s="16"/>
    </row>
    <row r="202" spans="1:6">
      <c r="A202" s="16" t="s">
        <v>249</v>
      </c>
      <c r="B202" s="17">
        <v>2.5000000000000001E-5</v>
      </c>
      <c r="C202" s="16" t="s">
        <v>14</v>
      </c>
      <c r="D202" s="16"/>
      <c r="E202" s="16"/>
      <c r="F202" s="16"/>
    </row>
    <row r="203" spans="1:6">
      <c r="A203" s="16" t="s">
        <v>250</v>
      </c>
      <c r="B203" s="17">
        <v>7.9000000000000006E-8</v>
      </c>
      <c r="C203" s="16" t="s">
        <v>14</v>
      </c>
      <c r="D203" s="16"/>
      <c r="E203" s="16"/>
      <c r="F203" s="16"/>
    </row>
    <row r="204" spans="1:6">
      <c r="A204" s="16" t="s">
        <v>275</v>
      </c>
      <c r="B204" s="17">
        <v>1.0624999999999999E-4</v>
      </c>
      <c r="C204" s="16" t="s">
        <v>253</v>
      </c>
      <c r="D204" s="16"/>
      <c r="E204" s="16"/>
      <c r="F204" s="16"/>
    </row>
    <row r="205" spans="1:6">
      <c r="A205" s="16" t="s">
        <v>251</v>
      </c>
      <c r="B205" s="17">
        <v>1.575E-6</v>
      </c>
      <c r="C205" s="16" t="s">
        <v>14</v>
      </c>
      <c r="D205" s="16"/>
      <c r="E205" s="16"/>
      <c r="F205" s="16"/>
    </row>
    <row r="206" spans="1:6">
      <c r="A206" s="16" t="s">
        <v>252</v>
      </c>
      <c r="B206" s="17">
        <v>1.6875E-5</v>
      </c>
      <c r="C206" s="16" t="s">
        <v>253</v>
      </c>
      <c r="D206" s="16"/>
      <c r="E206" s="16"/>
      <c r="F206" s="16"/>
    </row>
    <row r="207" spans="1:6">
      <c r="A207" s="16" t="s">
        <v>143</v>
      </c>
      <c r="B207" s="17">
        <v>1.2500000000000001E-6</v>
      </c>
      <c r="C207" s="16" t="s">
        <v>14</v>
      </c>
      <c r="D207" s="16"/>
      <c r="E207" s="16"/>
      <c r="F207" s="16"/>
    </row>
    <row r="208" spans="1:6">
      <c r="A208" s="16" t="s">
        <v>268</v>
      </c>
      <c r="B208" s="17">
        <v>6.2500000000000005E-7</v>
      </c>
      <c r="C208" s="16" t="s">
        <v>14</v>
      </c>
      <c r="D208" s="16"/>
      <c r="E208" s="16"/>
      <c r="F208" s="16"/>
    </row>
    <row r="209" spans="1:6">
      <c r="A209" s="16" t="s">
        <v>276</v>
      </c>
      <c r="B209" s="17">
        <v>1.5E-5</v>
      </c>
      <c r="C209" s="16" t="s">
        <v>253</v>
      </c>
      <c r="D209" s="16"/>
      <c r="E209" s="16"/>
      <c r="F209" s="16"/>
    </row>
    <row r="210" spans="1:6">
      <c r="A210" s="16" t="s">
        <v>277</v>
      </c>
      <c r="B210" s="17">
        <v>8.1249999999999996E-5</v>
      </c>
      <c r="C210" s="16" t="s">
        <v>253</v>
      </c>
      <c r="D210" s="16"/>
      <c r="E210" s="16"/>
      <c r="F210" s="16"/>
    </row>
    <row r="211" spans="1:6">
      <c r="A211" s="16" t="s">
        <v>278</v>
      </c>
      <c r="B211" s="17">
        <v>1.2500000000000001E-6</v>
      </c>
      <c r="C211" s="16" t="s">
        <v>253</v>
      </c>
      <c r="D211" s="16"/>
      <c r="E211" s="16"/>
      <c r="F211" s="16"/>
    </row>
    <row r="212" spans="1:6">
      <c r="A212" s="16" t="s">
        <v>279</v>
      </c>
      <c r="B212" s="17">
        <v>1.2500000000000001E-6</v>
      </c>
      <c r="C212" s="16" t="s">
        <v>253</v>
      </c>
      <c r="D212" s="16"/>
      <c r="E212" s="16"/>
      <c r="F212" s="16"/>
    </row>
    <row r="213" spans="1:6">
      <c r="A213" s="16" t="s">
        <v>254</v>
      </c>
      <c r="B213" s="17">
        <v>1.575E-9</v>
      </c>
      <c r="C213" s="16" t="s">
        <v>14</v>
      </c>
      <c r="D213" s="16"/>
      <c r="E213" s="16"/>
      <c r="F213" s="16"/>
    </row>
    <row r="214" spans="1:6">
      <c r="A214" s="16" t="s">
        <v>255</v>
      </c>
      <c r="B214" s="17">
        <v>1.185E-8</v>
      </c>
      <c r="C214" s="16" t="s">
        <v>14</v>
      </c>
      <c r="D214" s="16"/>
      <c r="E214" s="16"/>
      <c r="F214" s="16"/>
    </row>
    <row r="215" spans="1:6">
      <c r="A215" s="16" t="s">
        <v>256</v>
      </c>
      <c r="B215" s="17">
        <v>1.9749999999999999E-5</v>
      </c>
      <c r="C215" s="16" t="s">
        <v>14</v>
      </c>
      <c r="D215" s="16"/>
      <c r="E215" s="16"/>
      <c r="F215" s="16"/>
    </row>
    <row r="216" spans="1:6">
      <c r="A216" s="16" t="s">
        <v>257</v>
      </c>
      <c r="B216" s="17">
        <v>7.8999999999999995E-7</v>
      </c>
      <c r="C216" s="16" t="s">
        <v>14</v>
      </c>
      <c r="D216" s="16"/>
      <c r="E216" s="16"/>
      <c r="F216" s="16"/>
    </row>
    <row r="217" spans="1:6">
      <c r="A217" s="16" t="s">
        <v>258</v>
      </c>
      <c r="B217" s="17">
        <v>2.375E-7</v>
      </c>
      <c r="C217" s="16" t="s">
        <v>14</v>
      </c>
      <c r="D217" s="16"/>
      <c r="E217" s="16"/>
      <c r="F217" s="16"/>
    </row>
    <row r="218" spans="1:6">
      <c r="A218" s="16" t="s">
        <v>120</v>
      </c>
      <c r="B218" s="17">
        <v>6.2500000000000001E-4</v>
      </c>
      <c r="C218" s="16" t="s">
        <v>14</v>
      </c>
      <c r="D218" s="16"/>
      <c r="E218" s="16"/>
      <c r="F218" s="16"/>
    </row>
    <row r="219" spans="1:6">
      <c r="A219" s="16" t="s">
        <v>259</v>
      </c>
      <c r="B219" s="17">
        <v>1.9749999999999999E-9</v>
      </c>
      <c r="C219" s="16" t="s">
        <v>14</v>
      </c>
      <c r="D219" s="16"/>
      <c r="E219" s="16"/>
      <c r="F219" s="16"/>
    </row>
    <row r="220" spans="1:6">
      <c r="A220" s="16" t="s">
        <v>280</v>
      </c>
      <c r="B220" s="17">
        <v>2.3750000000000002E-9</v>
      </c>
      <c r="C220" s="16" t="s">
        <v>14</v>
      </c>
      <c r="D220" s="16"/>
      <c r="E220" s="16"/>
      <c r="F220" s="16"/>
    </row>
    <row r="221" spans="1:6">
      <c r="A221" s="16" t="s">
        <v>281</v>
      </c>
      <c r="B221" s="17">
        <v>6.8750000000000002E-6</v>
      </c>
      <c r="C221" s="16" t="s">
        <v>253</v>
      </c>
      <c r="D221" s="16"/>
      <c r="E221" s="16"/>
      <c r="F221" s="16"/>
    </row>
    <row r="222" spans="1:6">
      <c r="A222" s="16" t="s">
        <v>282</v>
      </c>
      <c r="B222" s="17">
        <v>4.3749999999999996E-6</v>
      </c>
      <c r="C222" s="16" t="s">
        <v>253</v>
      </c>
      <c r="D222" s="16"/>
      <c r="E222" s="16"/>
      <c r="F222" s="16"/>
    </row>
    <row r="223" spans="1:6">
      <c r="A223" s="16" t="s">
        <v>260</v>
      </c>
      <c r="B223" s="17">
        <v>7.8999999999999996E-10</v>
      </c>
      <c r="C223" s="16" t="s">
        <v>14</v>
      </c>
      <c r="D223" s="16"/>
      <c r="E223" s="16"/>
      <c r="F223" s="16"/>
    </row>
    <row r="224" spans="1:6">
      <c r="A224" s="16" t="s">
        <v>261</v>
      </c>
      <c r="B224" s="17">
        <v>4.7375000000000002E-7</v>
      </c>
      <c r="C224" s="16" t="s">
        <v>14</v>
      </c>
      <c r="D224" s="16"/>
      <c r="E224" s="16"/>
      <c r="F224" s="16"/>
    </row>
    <row r="225" spans="1:6">
      <c r="A225" s="16" t="s">
        <v>147</v>
      </c>
      <c r="B225" s="17">
        <v>1.2499999999999999E-7</v>
      </c>
      <c r="C225" s="16" t="s">
        <v>14</v>
      </c>
      <c r="D225" s="16"/>
      <c r="E225" s="16"/>
      <c r="F225" s="16"/>
    </row>
    <row r="226" spans="1:6">
      <c r="A226" s="16" t="s">
        <v>283</v>
      </c>
      <c r="B226" s="17">
        <v>3.1625000000000002E-9</v>
      </c>
      <c r="C226" s="16" t="s">
        <v>14</v>
      </c>
      <c r="D226" s="16"/>
      <c r="E226" s="16"/>
      <c r="F226" s="16"/>
    </row>
    <row r="227" spans="1:6">
      <c r="A227" s="16" t="s">
        <v>284</v>
      </c>
      <c r="B227" s="17">
        <v>1.2500000000000001E-5</v>
      </c>
      <c r="C227" s="16" t="s">
        <v>253</v>
      </c>
      <c r="D227" s="16"/>
      <c r="E227" s="16"/>
      <c r="F227" s="16"/>
    </row>
    <row r="228" spans="1:6">
      <c r="A228" s="16" t="s">
        <v>262</v>
      </c>
      <c r="B228" s="17">
        <v>4.7374999999999999E-8</v>
      </c>
      <c r="C228" s="16" t="s">
        <v>14</v>
      </c>
      <c r="D228" s="16"/>
      <c r="E228" s="16"/>
      <c r="F228" s="16"/>
    </row>
    <row r="229" spans="1:6">
      <c r="A229" s="16" t="s">
        <v>263</v>
      </c>
      <c r="B229" s="17">
        <v>1.125E-6</v>
      </c>
      <c r="C229" s="16" t="s">
        <v>23</v>
      </c>
      <c r="D229" s="16"/>
      <c r="E229" s="16"/>
      <c r="F229" s="16"/>
    </row>
    <row r="230" spans="1:6">
      <c r="A230" s="16" t="s">
        <v>263</v>
      </c>
      <c r="B230" s="17">
        <v>6.3749999999999999E-6</v>
      </c>
      <c r="C230" s="16" t="s">
        <v>23</v>
      </c>
      <c r="D230" s="16"/>
      <c r="E230" s="16"/>
      <c r="F230" s="16"/>
    </row>
    <row r="231" spans="1:6">
      <c r="A231" s="16" t="s">
        <v>285</v>
      </c>
      <c r="B231" s="17">
        <v>1.2499999999999999E-7</v>
      </c>
      <c r="C231" s="16" t="s">
        <v>14</v>
      </c>
      <c r="D231" s="16"/>
      <c r="E231" s="16"/>
      <c r="F231" s="16"/>
    </row>
    <row r="232" spans="1:6">
      <c r="A232" s="16" t="s">
        <v>264</v>
      </c>
      <c r="B232" s="17">
        <v>3.9499999999999998E-9</v>
      </c>
      <c r="C232" s="16" t="s">
        <v>14</v>
      </c>
      <c r="D232" s="16"/>
      <c r="E232" s="16"/>
      <c r="F232" s="16"/>
    </row>
    <row r="234" spans="1:6" ht="15">
      <c r="A234" s="27" t="s">
        <v>184</v>
      </c>
      <c r="B234" s="39" t="s">
        <v>80</v>
      </c>
      <c r="C234" s="29">
        <v>1</v>
      </c>
      <c r="D234" s="28"/>
      <c r="E234" s="28" t="s">
        <v>286</v>
      </c>
      <c r="F234" s="28"/>
    </row>
    <row r="235" spans="1:6" ht="15">
      <c r="A235" s="27" t="s">
        <v>44</v>
      </c>
      <c r="B235" s="28"/>
      <c r="C235" s="28"/>
      <c r="D235" s="28"/>
      <c r="E235" s="28"/>
      <c r="F235" s="28"/>
    </row>
    <row r="236" spans="1:6">
      <c r="A236" s="28" t="s">
        <v>287</v>
      </c>
      <c r="B236" s="28">
        <v>0</v>
      </c>
      <c r="C236" s="28" t="s">
        <v>73</v>
      </c>
      <c r="D236" s="28"/>
      <c r="E236" s="28"/>
      <c r="F236" s="28" t="s">
        <v>84</v>
      </c>
    </row>
    <row r="237" spans="1:6">
      <c r="A237" s="28" t="s">
        <v>85</v>
      </c>
      <c r="B237" s="28">
        <v>0</v>
      </c>
      <c r="C237" s="28" t="s">
        <v>65</v>
      </c>
      <c r="D237" s="28"/>
      <c r="E237" s="28"/>
      <c r="F237" s="28" t="s">
        <v>68</v>
      </c>
    </row>
    <row r="238" spans="1:6">
      <c r="A238" s="28" t="s">
        <v>288</v>
      </c>
      <c r="B238" s="28">
        <v>0</v>
      </c>
      <c r="C238" s="28" t="s">
        <v>50</v>
      </c>
      <c r="D238" s="28"/>
      <c r="E238" s="28"/>
      <c r="F238" s="28" t="s">
        <v>88</v>
      </c>
    </row>
    <row r="239" spans="1:6">
      <c r="A239" s="28"/>
      <c r="B239" s="28"/>
      <c r="C239" s="28"/>
      <c r="D239" s="28"/>
      <c r="E239" s="28"/>
      <c r="F239" s="28"/>
    </row>
    <row r="240" spans="1:6" ht="15">
      <c r="A240" s="27" t="s">
        <v>76</v>
      </c>
      <c r="B240" s="28"/>
      <c r="C240" s="28"/>
      <c r="D240" s="28"/>
      <c r="E240" s="28"/>
      <c r="F240" s="28"/>
    </row>
    <row r="241" spans="1:6">
      <c r="A241" s="28" t="s">
        <v>45</v>
      </c>
      <c r="B241" s="28">
        <v>1</v>
      </c>
      <c r="C241" s="28" t="s">
        <v>73</v>
      </c>
      <c r="D241" s="28"/>
      <c r="E241" s="28"/>
      <c r="F241" s="28"/>
    </row>
    <row r="242" spans="1:6">
      <c r="A242" s="28" t="s">
        <v>289</v>
      </c>
      <c r="B242" s="29">
        <f>B14*B13*B72/0.6</f>
        <v>2.3866059278953262</v>
      </c>
      <c r="C242" s="28" t="s">
        <v>290</v>
      </c>
      <c r="D242" s="28"/>
      <c r="E242" s="28"/>
      <c r="F242" s="28"/>
    </row>
    <row r="243" spans="1:6">
      <c r="A243" s="28" t="s">
        <v>291</v>
      </c>
      <c r="B243" s="37">
        <f>B72-B256</f>
        <v>0.10055731314859462</v>
      </c>
      <c r="C243" s="28" t="s">
        <v>14</v>
      </c>
      <c r="D243" s="28"/>
      <c r="E243" s="28"/>
      <c r="F243" s="28" t="s">
        <v>104</v>
      </c>
    </row>
    <row r="244" spans="1:6">
      <c r="A244" s="28" t="s">
        <v>91</v>
      </c>
      <c r="B244" s="28">
        <v>0</v>
      </c>
      <c r="C244" s="29" t="s">
        <v>14</v>
      </c>
      <c r="D244" s="28"/>
      <c r="E244" s="28"/>
      <c r="F244" s="28"/>
    </row>
    <row r="245" spans="1:6">
      <c r="A245" s="28" t="s">
        <v>92</v>
      </c>
      <c r="B245" s="28">
        <v>0</v>
      </c>
      <c r="C245" s="29" t="s">
        <v>14</v>
      </c>
      <c r="D245" s="28"/>
      <c r="E245" s="28"/>
      <c r="F245" s="28"/>
    </row>
    <row r="246" spans="1:6">
      <c r="A246" s="28" t="s">
        <v>93</v>
      </c>
      <c r="B246" s="28">
        <v>0</v>
      </c>
      <c r="C246" s="29" t="s">
        <v>14</v>
      </c>
      <c r="D246" s="28"/>
      <c r="E246" s="28"/>
      <c r="F246" s="28"/>
    </row>
    <row r="247" spans="1:6">
      <c r="A247" s="28" t="s">
        <v>94</v>
      </c>
      <c r="B247" s="28">
        <v>0</v>
      </c>
      <c r="C247" s="29" t="s">
        <v>14</v>
      </c>
      <c r="D247" s="28"/>
      <c r="E247" s="28"/>
      <c r="F247" s="28"/>
    </row>
    <row r="248" spans="1:6">
      <c r="A248" s="28" t="s">
        <v>95</v>
      </c>
      <c r="B248" s="28">
        <v>0</v>
      </c>
      <c r="C248" s="29" t="s">
        <v>14</v>
      </c>
      <c r="D248" s="28"/>
      <c r="E248" s="28"/>
      <c r="F248" s="28"/>
    </row>
    <row r="250" spans="1:6" ht="15">
      <c r="A250" s="4" t="s">
        <v>293</v>
      </c>
      <c r="B250" s="2"/>
      <c r="C250" s="2"/>
      <c r="D250" s="2"/>
      <c r="E250" s="2"/>
      <c r="F250" s="2"/>
    </row>
    <row r="251" spans="1:6">
      <c r="A251" s="5" t="s">
        <v>337</v>
      </c>
      <c r="B251" s="5">
        <f>B14*B13*B72/0.6</f>
        <v>2.3866059278953262</v>
      </c>
      <c r="C251" s="5" t="s">
        <v>295</v>
      </c>
      <c r="D251" s="2"/>
      <c r="E251" s="2"/>
      <c r="F251" s="2"/>
    </row>
    <row r="252" spans="1:6">
      <c r="A252" s="2" t="s">
        <v>296</v>
      </c>
      <c r="B252" s="2"/>
      <c r="C252" s="5"/>
      <c r="D252" s="2"/>
      <c r="E252" s="5"/>
      <c r="F252" s="2"/>
    </row>
    <row r="253" spans="1:6">
      <c r="A253" s="2" t="s">
        <v>297</v>
      </c>
      <c r="B253" s="5">
        <f>B72</f>
        <v>0.10345361495327099</v>
      </c>
      <c r="C253" s="5" t="s">
        <v>14</v>
      </c>
      <c r="D253" s="5"/>
      <c r="E253" s="5"/>
      <c r="F253" s="2"/>
    </row>
    <row r="254" spans="1:6">
      <c r="A254" s="2" t="s">
        <v>298</v>
      </c>
      <c r="B254" s="5">
        <f>(1*B242)/(0.0821*273)</f>
        <v>0.10648168399545475</v>
      </c>
      <c r="C254" s="2"/>
      <c r="D254" s="5"/>
      <c r="E254" s="5"/>
      <c r="F254" s="2"/>
    </row>
    <row r="255" spans="1:6">
      <c r="A255" s="2" t="s">
        <v>299</v>
      </c>
      <c r="B255" s="2">
        <f>16*0.6+44*0.4</f>
        <v>27.200000000000003</v>
      </c>
      <c r="C255" s="2" t="s">
        <v>40</v>
      </c>
      <c r="D255" s="2"/>
      <c r="E255" s="2"/>
      <c r="F255" s="2"/>
    </row>
    <row r="256" spans="1:6">
      <c r="A256" s="2" t="s">
        <v>300</v>
      </c>
      <c r="B256" s="5">
        <f>B255*B254/1000</f>
        <v>2.8963018046763698E-3</v>
      </c>
      <c r="C256" s="2" t="s">
        <v>14</v>
      </c>
      <c r="D256" s="2"/>
      <c r="E256" s="2"/>
      <c r="F256" s="2"/>
    </row>
    <row r="257" spans="1:6" ht="20.25">
      <c r="A257" s="2" t="s">
        <v>301</v>
      </c>
      <c r="B257" s="5">
        <f>B253-B256</f>
        <v>0.10055731314859462</v>
      </c>
      <c r="C257" s="2" t="s">
        <v>14</v>
      </c>
      <c r="D257" s="2"/>
      <c r="E257" s="40"/>
      <c r="F257" s="2"/>
    </row>
    <row r="258" spans="1:6">
      <c r="A258" s="2" t="s">
        <v>302</v>
      </c>
      <c r="B258" s="5">
        <f>(B72)/(B256/B6)</f>
        <v>43.613156492873998</v>
      </c>
      <c r="C258" s="2" t="s">
        <v>14</v>
      </c>
      <c r="D258" s="2"/>
      <c r="E258" s="2"/>
      <c r="F258" s="2"/>
    </row>
    <row r="260" spans="1:6" ht="15">
      <c r="A260" s="33" t="s">
        <v>303</v>
      </c>
      <c r="B260" s="24"/>
      <c r="C260" s="25"/>
      <c r="D260" s="24" t="s">
        <v>108</v>
      </c>
      <c r="E260" s="25"/>
      <c r="F260" s="25"/>
    </row>
    <row r="261" spans="1:6" ht="15">
      <c r="A261" s="24" t="s">
        <v>44</v>
      </c>
      <c r="B261" s="25"/>
      <c r="C261" s="25"/>
      <c r="D261" s="25"/>
      <c r="E261" s="25"/>
      <c r="F261" s="25"/>
    </row>
    <row r="262" spans="1:6">
      <c r="A262" s="25" t="s">
        <v>109</v>
      </c>
      <c r="B262" s="26">
        <v>2.0799999999999999E-4</v>
      </c>
      <c r="C262" s="25" t="s">
        <v>14</v>
      </c>
      <c r="D262" s="25"/>
      <c r="E262" s="25"/>
      <c r="F262" s="25" t="s">
        <v>110</v>
      </c>
    </row>
    <row r="263" spans="1:6">
      <c r="A263" s="25" t="s">
        <v>111</v>
      </c>
      <c r="B263" s="26">
        <v>5.4000000000000001E-11</v>
      </c>
      <c r="C263" s="25" t="s">
        <v>46</v>
      </c>
      <c r="D263" s="25"/>
      <c r="E263" s="25"/>
      <c r="F263" s="25" t="s">
        <v>112</v>
      </c>
    </row>
    <row r="264" spans="1:6">
      <c r="A264" s="25" t="s">
        <v>85</v>
      </c>
      <c r="B264" s="25">
        <v>0.18562874251497</v>
      </c>
      <c r="C264" s="25" t="s">
        <v>86</v>
      </c>
      <c r="D264" s="25"/>
      <c r="E264" s="25"/>
      <c r="F264" s="25" t="s">
        <v>68</v>
      </c>
    </row>
    <row r="265" spans="1:6">
      <c r="A265" s="25" t="s">
        <v>113</v>
      </c>
      <c r="B265" s="26">
        <v>1.4999999999999999E-4</v>
      </c>
      <c r="C265" s="25" t="s">
        <v>14</v>
      </c>
      <c r="D265" s="25"/>
      <c r="E265" s="25"/>
      <c r="F265" s="25" t="s">
        <v>114</v>
      </c>
    </row>
    <row r="266" spans="1:6">
      <c r="A266" s="25" t="s">
        <v>115</v>
      </c>
      <c r="B266" s="26">
        <v>3.98E-6</v>
      </c>
      <c r="C266" s="25" t="s">
        <v>14</v>
      </c>
      <c r="D266" s="25"/>
      <c r="E266" s="25"/>
      <c r="F266" s="25" t="s">
        <v>116</v>
      </c>
    </row>
    <row r="267" spans="1:6">
      <c r="A267" s="25"/>
      <c r="B267" s="26"/>
      <c r="C267" s="25"/>
      <c r="D267" s="25"/>
      <c r="E267" s="25"/>
      <c r="F267" s="25"/>
    </row>
    <row r="268" spans="1:6" ht="15">
      <c r="A268" s="24" t="s">
        <v>61</v>
      </c>
      <c r="B268" s="25"/>
      <c r="C268" s="25"/>
      <c r="D268" s="25"/>
      <c r="E268" s="25"/>
      <c r="F268" s="25"/>
    </row>
    <row r="269" spans="1:6">
      <c r="A269" s="25" t="s">
        <v>47</v>
      </c>
      <c r="B269" s="25">
        <v>1</v>
      </c>
      <c r="C269" s="25" t="s">
        <v>46</v>
      </c>
      <c r="D269" s="25"/>
      <c r="E269" s="25"/>
      <c r="F269" s="25"/>
    </row>
    <row r="270" spans="1:6">
      <c r="A270" s="25" t="s">
        <v>117</v>
      </c>
      <c r="B270" s="25">
        <v>1</v>
      </c>
      <c r="C270" s="25" t="s">
        <v>23</v>
      </c>
      <c r="D270" s="25"/>
      <c r="E270" s="25"/>
      <c r="F270" s="25"/>
    </row>
    <row r="271" spans="1:6">
      <c r="A271" s="25" t="s">
        <v>92</v>
      </c>
      <c r="B271" s="26">
        <v>0.97457000000000005</v>
      </c>
      <c r="C271" s="25" t="s">
        <v>14</v>
      </c>
      <c r="D271" s="25"/>
      <c r="E271" s="25"/>
      <c r="F271" s="25"/>
    </row>
    <row r="272" spans="1:6">
      <c r="A272" s="25" t="s">
        <v>118</v>
      </c>
      <c r="B272" s="26">
        <v>1.28</v>
      </c>
      <c r="C272" s="25" t="s">
        <v>50</v>
      </c>
      <c r="D272" s="25"/>
      <c r="E272" s="25"/>
      <c r="F272" s="25"/>
    </row>
    <row r="273" spans="1:6">
      <c r="A273" s="25" t="s">
        <v>94</v>
      </c>
      <c r="B273" s="26">
        <v>6.7000000000000002E-6</v>
      </c>
      <c r="C273" s="25" t="s">
        <v>14</v>
      </c>
      <c r="D273" s="25"/>
      <c r="E273" s="25"/>
      <c r="F273" s="25"/>
    </row>
    <row r="274" spans="1:6">
      <c r="A274" s="25" t="s">
        <v>95</v>
      </c>
      <c r="B274" s="25">
        <v>8.6E-3</v>
      </c>
      <c r="C274" s="25" t="s">
        <v>14</v>
      </c>
      <c r="D274" s="25"/>
      <c r="E274" s="25"/>
      <c r="F274" s="25"/>
    </row>
    <row r="275" spans="1:6">
      <c r="A275" s="25" t="s">
        <v>119</v>
      </c>
      <c r="B275" s="25">
        <v>4.8779999999999997E-2</v>
      </c>
      <c r="C275" s="25" t="s">
        <v>14</v>
      </c>
      <c r="D275" s="25"/>
      <c r="E275" s="25"/>
      <c r="F275" s="25"/>
    </row>
    <row r="276" spans="1:6">
      <c r="A276" s="25" t="s">
        <v>120</v>
      </c>
      <c r="B276" s="26">
        <v>6.5989999999999998E-6</v>
      </c>
      <c r="C276" s="25" t="s">
        <v>14</v>
      </c>
      <c r="D276" s="25"/>
      <c r="E276" s="25"/>
      <c r="F276" s="25"/>
    </row>
    <row r="278" spans="1:6" ht="15">
      <c r="A278" s="34" t="s">
        <v>186</v>
      </c>
      <c r="B278" s="28"/>
      <c r="C278" s="28"/>
      <c r="D278" s="27" t="s">
        <v>121</v>
      </c>
      <c r="E278" s="28"/>
      <c r="F278" s="28"/>
    </row>
    <row r="279" spans="1:6" ht="15">
      <c r="A279" s="27" t="s">
        <v>44</v>
      </c>
      <c r="B279" s="28"/>
      <c r="C279" s="28"/>
      <c r="D279" s="28"/>
      <c r="E279" s="28"/>
      <c r="F279" s="28"/>
    </row>
    <row r="280" spans="1:6">
      <c r="A280" s="28" t="s">
        <v>85</v>
      </c>
      <c r="B280" s="28">
        <v>2.7244000000000001E-3</v>
      </c>
      <c r="C280" s="28" t="s">
        <v>86</v>
      </c>
      <c r="D280" s="28"/>
      <c r="E280" s="28"/>
      <c r="F280" s="28" t="s">
        <v>68</v>
      </c>
    </row>
    <row r="281" spans="1:6">
      <c r="A281" s="28" t="s">
        <v>122</v>
      </c>
      <c r="B281" s="29">
        <v>6.4679999999999999E-7</v>
      </c>
      <c r="C281" s="28" t="s">
        <v>46</v>
      </c>
      <c r="D281" s="28"/>
      <c r="E281" s="28"/>
      <c r="F281" s="28" t="s">
        <v>123</v>
      </c>
    </row>
    <row r="282" spans="1:6">
      <c r="A282" s="28"/>
      <c r="B282" s="28"/>
      <c r="C282" s="28"/>
      <c r="D282" s="28"/>
      <c r="E282" s="28"/>
      <c r="F282" s="28"/>
    </row>
    <row r="283" spans="1:6" ht="15">
      <c r="A283" s="27" t="s">
        <v>61</v>
      </c>
      <c r="B283" s="28"/>
      <c r="C283" s="28"/>
      <c r="D283" s="28"/>
      <c r="E283" s="28"/>
      <c r="F283" s="28"/>
    </row>
    <row r="284" spans="1:6">
      <c r="A284" s="28" t="s">
        <v>124</v>
      </c>
      <c r="B284" s="28">
        <v>1</v>
      </c>
      <c r="C284" s="28" t="s">
        <v>46</v>
      </c>
      <c r="D284" s="28"/>
      <c r="E284" s="28"/>
      <c r="F284" s="28"/>
    </row>
    <row r="285" spans="1:6">
      <c r="A285" s="28" t="s">
        <v>125</v>
      </c>
      <c r="B285" s="28">
        <v>0</v>
      </c>
      <c r="C285" s="28" t="s">
        <v>50</v>
      </c>
      <c r="D285" s="28"/>
      <c r="E285" s="28" t="s">
        <v>126</v>
      </c>
      <c r="F285" s="28"/>
    </row>
    <row r="286" spans="1:6">
      <c r="A286" s="28" t="s">
        <v>128</v>
      </c>
      <c r="B286" s="29">
        <v>9.7999999999999992E-10</v>
      </c>
      <c r="C286" s="28" t="s">
        <v>14</v>
      </c>
      <c r="D286" s="28"/>
      <c r="E286" s="28"/>
      <c r="F286" s="28"/>
    </row>
    <row r="287" spans="1:6">
      <c r="A287" s="28" t="s">
        <v>129</v>
      </c>
      <c r="B287" s="29">
        <v>1.4700000000000001E-7</v>
      </c>
      <c r="C287" s="28" t="s">
        <v>14</v>
      </c>
      <c r="D287" s="28"/>
      <c r="E287" s="28"/>
      <c r="F287" s="28"/>
    </row>
    <row r="288" spans="1:6">
      <c r="A288" s="28" t="s">
        <v>130</v>
      </c>
      <c r="B288" s="29">
        <v>3.9200000000000002E-7</v>
      </c>
      <c r="C288" s="28" t="s">
        <v>14</v>
      </c>
      <c r="D288" s="28"/>
      <c r="E288" s="28"/>
      <c r="F288" s="28"/>
    </row>
    <row r="289" spans="1:6">
      <c r="A289" s="28" t="s">
        <v>131</v>
      </c>
      <c r="B289" s="29">
        <v>9.7999999999999994E-12</v>
      </c>
      <c r="C289" s="28" t="s">
        <v>14</v>
      </c>
      <c r="D289" s="28"/>
      <c r="E289" s="28"/>
      <c r="F289" s="28"/>
    </row>
    <row r="290" spans="1:6">
      <c r="A290" s="28" t="s">
        <v>132</v>
      </c>
      <c r="B290" s="29">
        <v>6.8599999999999998E-7</v>
      </c>
      <c r="C290" s="28" t="s">
        <v>14</v>
      </c>
      <c r="D290" s="28"/>
      <c r="E290" s="28"/>
      <c r="F290" s="28"/>
    </row>
    <row r="291" spans="1:6">
      <c r="A291" s="28" t="s">
        <v>92</v>
      </c>
      <c r="B291" s="28">
        <v>5.4879999999999998E-2</v>
      </c>
      <c r="C291" s="28" t="s">
        <v>14</v>
      </c>
      <c r="D291" s="28"/>
      <c r="E291" s="28"/>
      <c r="F291" s="28"/>
    </row>
    <row r="292" spans="1:6">
      <c r="A292" s="28" t="s">
        <v>133</v>
      </c>
      <c r="B292" s="29">
        <v>5.7819999999999999E-6</v>
      </c>
      <c r="C292" s="28" t="s">
        <v>14</v>
      </c>
      <c r="D292" s="28"/>
      <c r="E292" s="28"/>
      <c r="F292" s="28"/>
    </row>
    <row r="293" spans="1:6">
      <c r="A293" s="28" t="s">
        <v>93</v>
      </c>
      <c r="B293" s="29">
        <v>4.8999999999999997E-7</v>
      </c>
      <c r="C293" s="28" t="s">
        <v>14</v>
      </c>
      <c r="D293" s="28"/>
      <c r="E293" s="28"/>
      <c r="F293" s="28"/>
    </row>
    <row r="294" spans="1:6">
      <c r="A294" s="28" t="s">
        <v>134</v>
      </c>
      <c r="B294" s="29">
        <v>2.9400000000000001E-17</v>
      </c>
      <c r="C294" s="28" t="s">
        <v>14</v>
      </c>
      <c r="D294" s="28"/>
      <c r="E294" s="28"/>
      <c r="F294" s="28"/>
    </row>
    <row r="295" spans="1:6">
      <c r="A295" s="28" t="s">
        <v>135</v>
      </c>
      <c r="B295" s="29">
        <v>9.8000000000000004E-8</v>
      </c>
      <c r="C295" s="28" t="s">
        <v>14</v>
      </c>
      <c r="D295" s="28"/>
      <c r="E295" s="28"/>
      <c r="F295" s="28"/>
    </row>
    <row r="296" spans="1:6">
      <c r="A296" s="28" t="s">
        <v>136</v>
      </c>
      <c r="B296" s="29">
        <v>2.9400000000000003E-11</v>
      </c>
      <c r="C296" s="28" t="s">
        <v>14</v>
      </c>
      <c r="D296" s="28"/>
      <c r="E296" s="28"/>
      <c r="F296" s="28"/>
    </row>
    <row r="297" spans="1:6">
      <c r="A297" s="28" t="s">
        <v>95</v>
      </c>
      <c r="B297" s="29">
        <v>1.9599999999999999E-6</v>
      </c>
      <c r="C297" s="28" t="s">
        <v>14</v>
      </c>
      <c r="D297" s="28"/>
      <c r="E297" s="28"/>
      <c r="F297" s="28"/>
    </row>
    <row r="298" spans="1:6">
      <c r="A298" s="28" t="s">
        <v>137</v>
      </c>
      <c r="B298" s="29">
        <v>1.2739999999999999E-7</v>
      </c>
      <c r="C298" s="28" t="s">
        <v>14</v>
      </c>
      <c r="D298" s="28"/>
      <c r="E298" s="28"/>
      <c r="F298" s="28"/>
    </row>
    <row r="299" spans="1:6">
      <c r="A299" s="28" t="s">
        <v>138</v>
      </c>
      <c r="B299" s="29">
        <v>2.9400000000000002E-9</v>
      </c>
      <c r="C299" s="28" t="s">
        <v>14</v>
      </c>
      <c r="D299" s="28"/>
      <c r="E299" s="28"/>
      <c r="F299" s="28"/>
    </row>
    <row r="300" spans="1:6">
      <c r="A300" s="28" t="s">
        <v>139</v>
      </c>
      <c r="B300" s="29">
        <v>9.7019999999999996E-6</v>
      </c>
      <c r="C300" s="28" t="s">
        <v>14</v>
      </c>
      <c r="D300" s="28"/>
      <c r="E300" s="28"/>
      <c r="F300" s="28"/>
    </row>
    <row r="301" spans="1:6">
      <c r="A301" s="28" t="s">
        <v>140</v>
      </c>
      <c r="B301" s="29">
        <v>9.8000000000000001E-9</v>
      </c>
      <c r="C301" s="28" t="s">
        <v>14</v>
      </c>
      <c r="D301" s="28"/>
      <c r="E301" s="28"/>
      <c r="F301" s="28"/>
    </row>
    <row r="302" spans="1:6">
      <c r="A302" s="28" t="s">
        <v>141</v>
      </c>
      <c r="B302" s="29">
        <v>9.8000000000000004E-8</v>
      </c>
      <c r="C302" s="28" t="s">
        <v>14</v>
      </c>
      <c r="D302" s="28"/>
      <c r="E302" s="28"/>
      <c r="F302" s="28"/>
    </row>
    <row r="303" spans="1:6">
      <c r="A303" s="28" t="s">
        <v>142</v>
      </c>
      <c r="B303" s="29">
        <v>1.176E-6</v>
      </c>
      <c r="C303" s="28" t="s">
        <v>14</v>
      </c>
      <c r="D303" s="28"/>
      <c r="E303" s="28"/>
      <c r="F303" s="28"/>
    </row>
    <row r="304" spans="1:6">
      <c r="A304" s="28" t="s">
        <v>143</v>
      </c>
      <c r="B304" s="29">
        <v>1.9600000000000001E-7</v>
      </c>
      <c r="C304" s="28" t="s">
        <v>14</v>
      </c>
      <c r="D304" s="28"/>
      <c r="E304" s="28"/>
      <c r="F304" s="28"/>
    </row>
    <row r="305" spans="1:6">
      <c r="A305" s="28" t="s">
        <v>144</v>
      </c>
      <c r="B305" s="29">
        <v>1.96E-8</v>
      </c>
      <c r="C305" s="28" t="s">
        <v>14</v>
      </c>
      <c r="D305" s="28"/>
      <c r="E305" s="28"/>
      <c r="F305" s="28"/>
    </row>
    <row r="306" spans="1:6">
      <c r="A306" s="28" t="s">
        <v>145</v>
      </c>
      <c r="B306" s="29">
        <v>4.9000000000000002E-8</v>
      </c>
      <c r="C306" s="28" t="s">
        <v>14</v>
      </c>
      <c r="D306" s="28"/>
      <c r="E306" s="28"/>
      <c r="F306" s="28"/>
    </row>
    <row r="307" spans="1:6">
      <c r="A307" s="28" t="s">
        <v>146</v>
      </c>
      <c r="B307" s="29">
        <v>4.9000000000000002E-8</v>
      </c>
      <c r="C307" s="28" t="s">
        <v>14</v>
      </c>
      <c r="D307" s="28"/>
      <c r="E307" s="28"/>
      <c r="F307" s="28"/>
    </row>
    <row r="308" spans="1:6">
      <c r="A308" s="28" t="s">
        <v>120</v>
      </c>
      <c r="B308" s="29">
        <v>4.8999999999999997E-7</v>
      </c>
      <c r="C308" s="28" t="s">
        <v>14</v>
      </c>
      <c r="D308" s="28"/>
      <c r="E308" s="28"/>
      <c r="F308" s="28"/>
    </row>
    <row r="309" spans="1:6">
      <c r="A309" s="28" t="s">
        <v>147</v>
      </c>
      <c r="B309" s="29">
        <v>1.9600000000000001E-7</v>
      </c>
      <c r="C309" s="28" t="s">
        <v>14</v>
      </c>
      <c r="D309" s="28"/>
      <c r="E309" s="28"/>
      <c r="F309" s="28"/>
    </row>
    <row r="311" spans="1:6" ht="15">
      <c r="A311" s="30" t="s">
        <v>304</v>
      </c>
      <c r="B311" s="16"/>
      <c r="C311" s="16"/>
      <c r="D311" s="16"/>
      <c r="E311" s="16"/>
      <c r="F311" s="16"/>
    </row>
    <row r="312" spans="1:6" ht="15">
      <c r="A312" s="15" t="s">
        <v>44</v>
      </c>
      <c r="B312" s="16"/>
      <c r="C312" s="16"/>
      <c r="D312" s="16"/>
      <c r="E312" s="16"/>
      <c r="F312" s="16"/>
    </row>
    <row r="313" spans="1:6">
      <c r="A313" s="16" t="s">
        <v>85</v>
      </c>
      <c r="B313" s="16">
        <v>4.6333333333333296E-3</v>
      </c>
      <c r="C313" s="16" t="s">
        <v>86</v>
      </c>
      <c r="D313" s="16"/>
      <c r="E313" s="16"/>
      <c r="F313" s="16" t="s">
        <v>68</v>
      </c>
    </row>
    <row r="314" spans="1:6">
      <c r="A314" s="16" t="s">
        <v>149</v>
      </c>
      <c r="B314" s="17">
        <v>3.1111111111111102E-9</v>
      </c>
      <c r="C314" s="16" t="s">
        <v>46</v>
      </c>
      <c r="D314" s="16"/>
      <c r="E314" s="16"/>
      <c r="F314" s="16" t="s">
        <v>150</v>
      </c>
    </row>
    <row r="315" spans="1:6">
      <c r="A315" s="16" t="s">
        <v>151</v>
      </c>
      <c r="B315" s="16">
        <v>3.0864197530864199E-2</v>
      </c>
      <c r="C315" s="16" t="s">
        <v>23</v>
      </c>
      <c r="D315" s="16"/>
      <c r="E315" s="16"/>
      <c r="F315" s="16" t="s">
        <v>152</v>
      </c>
    </row>
    <row r="316" spans="1:6">
      <c r="A316" s="16"/>
      <c r="B316" s="16"/>
      <c r="C316" s="16"/>
      <c r="D316" s="16"/>
      <c r="E316" s="16"/>
      <c r="F316" s="16"/>
    </row>
    <row r="317" spans="1:6" ht="15">
      <c r="A317" s="15" t="s">
        <v>76</v>
      </c>
      <c r="B317" s="16"/>
      <c r="C317" s="16"/>
      <c r="D317" s="16"/>
      <c r="E317" s="16"/>
      <c r="F317" s="16"/>
    </row>
    <row r="318" spans="1:6">
      <c r="A318" s="16" t="s">
        <v>87</v>
      </c>
      <c r="B318" s="16">
        <v>1</v>
      </c>
      <c r="C318" s="16" t="s">
        <v>50</v>
      </c>
      <c r="D318" s="16"/>
      <c r="E318" s="16"/>
      <c r="F318" s="16"/>
    </row>
    <row r="319" spans="1:6">
      <c r="A319" s="16" t="s">
        <v>128</v>
      </c>
      <c r="B319" s="17">
        <v>1.11111111111111E-9</v>
      </c>
      <c r="C319" s="16" t="s">
        <v>14</v>
      </c>
      <c r="D319" s="16"/>
      <c r="E319" s="16"/>
      <c r="F319" s="16"/>
    </row>
    <row r="320" spans="1:6">
      <c r="A320" s="16" t="s">
        <v>129</v>
      </c>
      <c r="B320" s="17">
        <v>1.6666666666666699E-7</v>
      </c>
      <c r="C320" s="16" t="s">
        <v>14</v>
      </c>
      <c r="D320" s="16"/>
      <c r="E320" s="16"/>
      <c r="F320" s="16"/>
    </row>
    <row r="321" spans="1:6">
      <c r="A321" s="16" t="s">
        <v>130</v>
      </c>
      <c r="B321" s="17">
        <v>4.4444444444444401E-7</v>
      </c>
      <c r="C321" s="16" t="s">
        <v>14</v>
      </c>
      <c r="D321" s="16"/>
      <c r="E321" s="16"/>
      <c r="F321" s="16"/>
    </row>
    <row r="322" spans="1:6">
      <c r="A322" s="17" t="s">
        <v>131</v>
      </c>
      <c r="B322" s="17">
        <v>1.11111111111111E-11</v>
      </c>
      <c r="C322" s="16" t="s">
        <v>14</v>
      </c>
      <c r="D322" s="16"/>
      <c r="E322" s="16"/>
      <c r="F322" s="16"/>
    </row>
    <row r="323" spans="1:6">
      <c r="A323" s="17" t="s">
        <v>132</v>
      </c>
      <c r="B323" s="17">
        <v>7.77777777777778E-7</v>
      </c>
      <c r="C323" s="16" t="s">
        <v>14</v>
      </c>
      <c r="D323" s="16"/>
      <c r="E323" s="16"/>
      <c r="F323" s="16"/>
    </row>
    <row r="324" spans="1:6">
      <c r="A324" s="17" t="s">
        <v>153</v>
      </c>
      <c r="B324" s="16">
        <v>6.22222222222222E-2</v>
      </c>
      <c r="C324" s="16" t="s">
        <v>14</v>
      </c>
      <c r="D324" s="16"/>
      <c r="E324" s="16"/>
      <c r="F324" s="16"/>
    </row>
    <row r="325" spans="1:6">
      <c r="A325" s="17" t="s">
        <v>154</v>
      </c>
      <c r="B325" s="17">
        <v>1.5555555555555599E-5</v>
      </c>
      <c r="C325" s="16" t="s">
        <v>14</v>
      </c>
      <c r="D325" s="16"/>
      <c r="E325" s="16"/>
      <c r="F325" s="16"/>
    </row>
    <row r="326" spans="1:6">
      <c r="A326" s="17" t="s">
        <v>93</v>
      </c>
      <c r="B326" s="17">
        <v>1.11111111111111E-7</v>
      </c>
      <c r="C326" s="16" t="s">
        <v>14</v>
      </c>
      <c r="D326" s="16"/>
      <c r="E326" s="16"/>
      <c r="F326" s="16"/>
    </row>
    <row r="327" spans="1:6">
      <c r="A327" s="16" t="s">
        <v>134</v>
      </c>
      <c r="B327" s="17">
        <v>3.3333333333333298E-17</v>
      </c>
      <c r="C327" s="16" t="s">
        <v>14</v>
      </c>
      <c r="D327" s="16"/>
      <c r="E327" s="16"/>
      <c r="F327" s="17"/>
    </row>
    <row r="328" spans="1:6">
      <c r="A328" s="16" t="s">
        <v>135</v>
      </c>
      <c r="B328" s="17">
        <v>1.11111111111111E-7</v>
      </c>
      <c r="C328" s="16" t="s">
        <v>14</v>
      </c>
      <c r="D328" s="16"/>
      <c r="E328" s="17"/>
      <c r="F328" s="16"/>
    </row>
    <row r="329" spans="1:6">
      <c r="A329" s="17" t="s">
        <v>136</v>
      </c>
      <c r="B329" s="17">
        <v>3.3333333333333302E-11</v>
      </c>
      <c r="C329" s="16" t="s">
        <v>14</v>
      </c>
      <c r="D329" s="16"/>
      <c r="E329" s="16"/>
      <c r="F329" s="16"/>
    </row>
    <row r="330" spans="1:6">
      <c r="A330" s="16" t="s">
        <v>155</v>
      </c>
      <c r="B330" s="17">
        <v>2.22222222222222E-6</v>
      </c>
      <c r="C330" s="16" t="s">
        <v>14</v>
      </c>
      <c r="D330" s="16"/>
      <c r="E330" s="16"/>
      <c r="F330" s="16"/>
    </row>
    <row r="331" spans="1:6">
      <c r="A331" s="16" t="s">
        <v>139</v>
      </c>
      <c r="B331" s="17">
        <v>2.5555555555555602E-5</v>
      </c>
      <c r="C331" s="16" t="s">
        <v>14</v>
      </c>
      <c r="D331" s="16"/>
      <c r="E331" s="16"/>
      <c r="F331" s="16"/>
    </row>
    <row r="332" spans="1:6">
      <c r="A332" s="16" t="s">
        <v>140</v>
      </c>
      <c r="B332" s="17">
        <v>1.11111111111111E-8</v>
      </c>
      <c r="C332" s="16" t="s">
        <v>14</v>
      </c>
      <c r="D332" s="16"/>
      <c r="E332" s="16"/>
      <c r="F332" s="16"/>
    </row>
    <row r="333" spans="1:6">
      <c r="A333" s="16" t="s">
        <v>141</v>
      </c>
      <c r="B333" s="17">
        <v>1.11111111111111E-7</v>
      </c>
      <c r="C333" s="16" t="s">
        <v>14</v>
      </c>
      <c r="D333" s="16"/>
      <c r="E333" s="16"/>
      <c r="F333" s="16"/>
    </row>
    <row r="334" spans="1:6">
      <c r="A334" s="17" t="s">
        <v>142</v>
      </c>
      <c r="B334" s="17">
        <v>1.33333333333333E-6</v>
      </c>
      <c r="C334" s="16" t="s">
        <v>14</v>
      </c>
      <c r="D334" s="16"/>
      <c r="E334" s="16"/>
      <c r="F334" s="16"/>
    </row>
    <row r="335" spans="1:6">
      <c r="A335" s="17" t="s">
        <v>143</v>
      </c>
      <c r="B335" s="17">
        <v>2.2222222222222201E-7</v>
      </c>
      <c r="C335" s="16" t="s">
        <v>14</v>
      </c>
      <c r="D335" s="16"/>
      <c r="E335" s="16"/>
      <c r="F335" s="16"/>
    </row>
    <row r="336" spans="1:6">
      <c r="A336" s="16" t="s">
        <v>144</v>
      </c>
      <c r="B336" s="17">
        <v>2.2222222222222201E-8</v>
      </c>
      <c r="C336" s="16" t="s">
        <v>14</v>
      </c>
      <c r="D336" s="16"/>
      <c r="E336" s="16"/>
      <c r="F336" s="16"/>
    </row>
    <row r="337" spans="1:6">
      <c r="A337" s="16" t="s">
        <v>120</v>
      </c>
      <c r="B337" s="17">
        <v>6.1111111111111095E-7</v>
      </c>
      <c r="C337" s="16" t="s">
        <v>14</v>
      </c>
      <c r="D337" s="16"/>
      <c r="E337" s="16"/>
      <c r="F337" s="16"/>
    </row>
    <row r="338" spans="1:6">
      <c r="A338" s="17" t="s">
        <v>147</v>
      </c>
      <c r="B338" s="17">
        <v>2.2222222222222201E-7</v>
      </c>
      <c r="C338" s="16" t="s">
        <v>14</v>
      </c>
      <c r="D338" s="16"/>
      <c r="E338" s="16"/>
      <c r="F338" s="16"/>
    </row>
    <row r="342" spans="1:6">
      <c r="B342" s="3"/>
    </row>
    <row r="343" spans="1:6">
      <c r="B343" s="3"/>
    </row>
    <row r="344" spans="1:6">
      <c r="B344" s="3"/>
    </row>
    <row r="351" spans="1:6">
      <c r="E351" s="3"/>
      <c r="F351" s="3"/>
    </row>
    <row r="352" spans="1:6">
      <c r="B352" s="3"/>
      <c r="E352" s="3"/>
      <c r="F352" s="3"/>
    </row>
    <row r="353" spans="1:6">
      <c r="B353" s="3"/>
      <c r="C353" s="3"/>
      <c r="E353" s="3"/>
      <c r="F353" s="3"/>
    </row>
    <row r="354" spans="1:6">
      <c r="B354" s="3"/>
      <c r="C354" s="3"/>
      <c r="E354" s="3"/>
      <c r="F354" s="3"/>
    </row>
    <row r="355" spans="1:6">
      <c r="B355" s="3"/>
      <c r="E355" s="3"/>
      <c r="F355" s="3"/>
    </row>
    <row r="356" spans="1:6">
      <c r="B356" s="3"/>
    </row>
    <row r="357" spans="1:6">
      <c r="A357" s="3"/>
      <c r="B357" s="3"/>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6156B-3C39-4310-BAC6-43B61E6FFFF3}">
  <dimension ref="A1:F205"/>
  <sheetViews>
    <sheetView zoomScale="44" zoomScaleNormal="70" workbookViewId="0">
      <selection activeCell="F62" sqref="F62"/>
    </sheetView>
  </sheetViews>
  <sheetFormatPr baseColWidth="10" defaultColWidth="9" defaultRowHeight="14.25"/>
  <cols>
    <col min="1" max="1" width="46.75" customWidth="1"/>
    <col min="2" max="2" width="79" customWidth="1"/>
    <col min="3" max="3" width="21.75" customWidth="1"/>
    <col min="4" max="4" width="28" customWidth="1"/>
    <col min="5" max="5" width="99.75" bestFit="1" customWidth="1"/>
    <col min="6" max="6" width="45.375" customWidth="1"/>
  </cols>
  <sheetData>
    <row r="1" spans="1:6" ht="15">
      <c r="A1" s="6" t="s">
        <v>6</v>
      </c>
      <c r="B1" s="6" t="s">
        <v>7</v>
      </c>
      <c r="C1" s="6" t="s">
        <v>8</v>
      </c>
      <c r="D1" s="6" t="s">
        <v>9</v>
      </c>
      <c r="E1" s="6" t="s">
        <v>10</v>
      </c>
      <c r="F1" s="6" t="s">
        <v>11</v>
      </c>
    </row>
    <row r="3" spans="1:6" ht="15">
      <c r="A3" s="36" t="s">
        <v>159</v>
      </c>
      <c r="B3" s="35"/>
      <c r="C3" s="35"/>
      <c r="D3" s="35"/>
      <c r="E3" s="35"/>
      <c r="F3" s="35"/>
    </row>
    <row r="4" spans="1:6">
      <c r="A4" s="35" t="s">
        <v>160</v>
      </c>
      <c r="B4" s="35">
        <v>1.2210000000000001</v>
      </c>
      <c r="C4" s="35" t="s">
        <v>17</v>
      </c>
      <c r="D4" s="35"/>
      <c r="E4" s="35"/>
      <c r="F4" s="35"/>
    </row>
    <row r="5" spans="1:6">
      <c r="A5" s="42" t="s">
        <v>161</v>
      </c>
      <c r="B5" s="35">
        <v>0.626</v>
      </c>
      <c r="C5" s="35"/>
      <c r="D5" s="35" t="s">
        <v>162</v>
      </c>
      <c r="E5" s="35"/>
      <c r="F5" s="35"/>
    </row>
    <row r="6" spans="1:6">
      <c r="A6" s="42" t="s">
        <v>163</v>
      </c>
      <c r="B6" s="35">
        <v>0.34499999999999997</v>
      </c>
      <c r="C6" s="35"/>
      <c r="D6" s="35" t="s">
        <v>162</v>
      </c>
      <c r="E6" s="35"/>
      <c r="F6" s="35"/>
    </row>
    <row r="7" spans="1:6">
      <c r="A7" s="42" t="s">
        <v>164</v>
      </c>
      <c r="B7" s="35">
        <v>2.9000000000000001E-2</v>
      </c>
      <c r="C7" s="35"/>
      <c r="D7" s="35" t="s">
        <v>162</v>
      </c>
      <c r="E7" s="35"/>
      <c r="F7" s="35"/>
    </row>
    <row r="8" spans="1:6">
      <c r="A8" s="42" t="s">
        <v>165</v>
      </c>
      <c r="B8" s="35">
        <v>0.80400000000000005</v>
      </c>
      <c r="C8" s="35"/>
      <c r="D8" s="35" t="s">
        <v>162</v>
      </c>
      <c r="E8" s="35"/>
      <c r="F8" s="35"/>
    </row>
    <row r="9" spans="1:6">
      <c r="A9" s="35" t="s">
        <v>166</v>
      </c>
      <c r="B9" s="35">
        <v>4.3249999999999997E-2</v>
      </c>
      <c r="C9" s="35" t="s">
        <v>14</v>
      </c>
      <c r="D9" s="35" t="s">
        <v>167</v>
      </c>
      <c r="E9" s="35"/>
      <c r="F9" s="35"/>
    </row>
    <row r="10" spans="1:6">
      <c r="A10" s="42" t="s">
        <v>170</v>
      </c>
      <c r="B10" s="35">
        <f>21.6*4</f>
        <v>86.4</v>
      </c>
      <c r="C10" s="35" t="s">
        <v>171</v>
      </c>
      <c r="D10" s="35" t="s">
        <v>172</v>
      </c>
      <c r="E10" s="35"/>
      <c r="F10" s="35"/>
    </row>
    <row r="11" spans="1:6">
      <c r="A11" s="42" t="s">
        <v>173</v>
      </c>
      <c r="B11" s="35">
        <v>0.1268</v>
      </c>
      <c r="C11" s="35" t="s">
        <v>174</v>
      </c>
      <c r="D11" s="35" t="s">
        <v>172</v>
      </c>
      <c r="E11" s="35"/>
      <c r="F11" s="35"/>
    </row>
    <row r="12" spans="1:6">
      <c r="A12" s="35" t="s">
        <v>22</v>
      </c>
      <c r="B12" s="35">
        <v>1.53579</v>
      </c>
      <c r="C12" s="35" t="s">
        <v>23</v>
      </c>
      <c r="D12" s="35"/>
      <c r="E12" s="35"/>
      <c r="F12" s="35"/>
    </row>
    <row r="13" spans="1:6">
      <c r="A13" s="35" t="s">
        <v>24</v>
      </c>
      <c r="B13" s="35">
        <v>2.513E-2</v>
      </c>
      <c r="C13" s="35" t="s">
        <v>23</v>
      </c>
      <c r="D13" s="35"/>
      <c r="E13" s="35"/>
      <c r="F13" s="35"/>
    </row>
    <row r="14" spans="1:6">
      <c r="A14" s="35" t="s">
        <v>175</v>
      </c>
      <c r="B14" s="35">
        <v>0.7</v>
      </c>
      <c r="C14" s="35"/>
      <c r="D14" s="35"/>
      <c r="E14" s="35"/>
      <c r="F14" s="35"/>
    </row>
    <row r="15" spans="1:6">
      <c r="A15" s="35" t="s">
        <v>176</v>
      </c>
      <c r="B15" s="35">
        <v>14.5</v>
      </c>
      <c r="C15" s="35" t="s">
        <v>177</v>
      </c>
      <c r="D15" s="35" t="s">
        <v>172</v>
      </c>
      <c r="E15" s="35"/>
      <c r="F15" s="35"/>
    </row>
    <row r="16" spans="1:6">
      <c r="A16" s="35" t="s">
        <v>362</v>
      </c>
      <c r="B16" s="35">
        <f>2.1/100</f>
        <v>2.1000000000000001E-2</v>
      </c>
      <c r="C16" s="35"/>
      <c r="D16" s="35" t="s">
        <v>172</v>
      </c>
      <c r="E16" s="35"/>
      <c r="F16" s="35"/>
    </row>
    <row r="17" spans="1:6">
      <c r="A17" s="35" t="s">
        <v>363</v>
      </c>
      <c r="B17" s="35">
        <f>3.1/100</f>
        <v>3.1E-2</v>
      </c>
      <c r="C17" s="35"/>
      <c r="D17" s="35" t="s">
        <v>172</v>
      </c>
      <c r="E17" s="35"/>
      <c r="F17" s="35"/>
    </row>
    <row r="18" spans="1:6">
      <c r="A18" s="35" t="s">
        <v>364</v>
      </c>
      <c r="B18" s="35">
        <f>1.7/100</f>
        <v>1.7000000000000001E-2</v>
      </c>
      <c r="C18" s="35"/>
      <c r="D18" s="35" t="s">
        <v>172</v>
      </c>
      <c r="E18" s="35"/>
      <c r="F18" s="35"/>
    </row>
    <row r="19" spans="1:6">
      <c r="A19" s="35" t="s">
        <v>365</v>
      </c>
      <c r="B19" s="35">
        <v>0.314</v>
      </c>
      <c r="C19" s="35"/>
      <c r="D19" s="35"/>
      <c r="E19" s="35"/>
      <c r="F19" s="35"/>
    </row>
    <row r="20" spans="1:6">
      <c r="A20" s="35" t="s">
        <v>39</v>
      </c>
      <c r="B20" s="35">
        <v>142</v>
      </c>
      <c r="C20" s="35" t="s">
        <v>40</v>
      </c>
      <c r="D20" s="35"/>
      <c r="E20" s="35"/>
      <c r="F20" s="35"/>
    </row>
    <row r="21" spans="1:6">
      <c r="A21" s="35" t="s">
        <v>41</v>
      </c>
      <c r="B21" s="35">
        <f>39*2+16</f>
        <v>94</v>
      </c>
      <c r="C21" s="35" t="s">
        <v>40</v>
      </c>
      <c r="D21" s="35"/>
      <c r="E21" s="35"/>
      <c r="F21" s="35"/>
    </row>
    <row r="23" spans="1:6" ht="15">
      <c r="A23" s="34" t="s">
        <v>178</v>
      </c>
      <c r="B23" s="28"/>
      <c r="C23" s="28"/>
      <c r="D23" s="28"/>
      <c r="E23" s="28"/>
      <c r="F23" s="28"/>
    </row>
    <row r="24" spans="1:6" ht="15">
      <c r="A24" s="27" t="s">
        <v>44</v>
      </c>
      <c r="B24" s="28"/>
      <c r="C24" s="28"/>
      <c r="D24" s="28"/>
      <c r="E24" s="28"/>
      <c r="F24" s="28"/>
    </row>
    <row r="25" spans="1:6">
      <c r="A25" s="28" t="s">
        <v>45</v>
      </c>
      <c r="B25" s="28">
        <v>1</v>
      </c>
      <c r="C25" s="28" t="s">
        <v>46</v>
      </c>
      <c r="D25" s="28"/>
      <c r="E25" s="28"/>
      <c r="F25" s="28"/>
    </row>
    <row r="26" spans="1:6">
      <c r="A26" s="28" t="s">
        <v>47</v>
      </c>
      <c r="B26" s="28">
        <v>0.15650723831737146</v>
      </c>
      <c r="C26" s="28" t="s">
        <v>46</v>
      </c>
      <c r="D26" s="28"/>
      <c r="E26" s="28"/>
      <c r="F26" s="28"/>
    </row>
    <row r="27" spans="1:6">
      <c r="A27" s="28" t="s">
        <v>48</v>
      </c>
      <c r="B27" s="28">
        <v>1</v>
      </c>
      <c r="C27" s="28" t="s">
        <v>46</v>
      </c>
      <c r="D27" s="28"/>
      <c r="E27" s="28"/>
      <c r="F27" s="28"/>
    </row>
    <row r="28" spans="1:6">
      <c r="A28" s="28" t="s">
        <v>49</v>
      </c>
      <c r="B28" s="28">
        <v>6.2279044296606232</v>
      </c>
      <c r="C28" s="28" t="s">
        <v>46</v>
      </c>
      <c r="D28" s="28"/>
      <c r="E28" s="28"/>
      <c r="F28" s="28"/>
    </row>
    <row r="29" spans="1:6">
      <c r="A29" s="28" t="s">
        <v>51</v>
      </c>
      <c r="B29" s="28">
        <v>-6.2279044296606232</v>
      </c>
      <c r="C29" s="28" t="s">
        <v>50</v>
      </c>
      <c r="D29" s="28"/>
      <c r="E29" s="28"/>
      <c r="F29" s="28" t="s">
        <v>52</v>
      </c>
    </row>
    <row r="30" spans="1:6">
      <c r="A30" s="28" t="s">
        <v>53</v>
      </c>
      <c r="B30" s="28">
        <v>1</v>
      </c>
      <c r="C30" s="28" t="s">
        <v>46</v>
      </c>
      <c r="D30" s="28"/>
      <c r="E30" s="28"/>
      <c r="F30" s="28"/>
    </row>
    <row r="31" spans="1:6">
      <c r="A31" s="28" t="s">
        <v>54</v>
      </c>
      <c r="B31" s="29">
        <v>1</v>
      </c>
      <c r="C31" s="28" t="s">
        <v>46</v>
      </c>
      <c r="D31" s="28"/>
      <c r="E31" s="28"/>
      <c r="F31" s="28"/>
    </row>
    <row r="32" spans="1:6">
      <c r="A32" s="28" t="s">
        <v>179</v>
      </c>
      <c r="B32" s="28">
        <v>1</v>
      </c>
      <c r="C32" s="28" t="s">
        <v>46</v>
      </c>
      <c r="D32" s="28"/>
      <c r="E32" s="28"/>
      <c r="F32" s="28"/>
    </row>
    <row r="33" spans="1:6">
      <c r="A33" s="28" t="s">
        <v>180</v>
      </c>
      <c r="B33" s="28">
        <v>1</v>
      </c>
      <c r="C33" s="28" t="s">
        <v>46</v>
      </c>
      <c r="D33" s="28"/>
      <c r="E33" s="28"/>
      <c r="F33" s="28"/>
    </row>
    <row r="34" spans="1:6">
      <c r="A34" s="28" t="s">
        <v>184</v>
      </c>
      <c r="B34" s="28">
        <v>1</v>
      </c>
      <c r="C34" s="28" t="s">
        <v>46</v>
      </c>
      <c r="D34" s="28"/>
      <c r="E34" s="28"/>
      <c r="F34" s="28"/>
    </row>
    <row r="35" spans="1:6">
      <c r="A35" s="28" t="s">
        <v>185</v>
      </c>
      <c r="B35" s="29">
        <f>(B90/1000)/B12</f>
        <v>1.6052886704153268E-3</v>
      </c>
      <c r="C35" s="28" t="s">
        <v>46</v>
      </c>
      <c r="D35" s="28"/>
      <c r="E35" s="28"/>
      <c r="F35" s="28"/>
    </row>
    <row r="36" spans="1:6">
      <c r="A36" s="28" t="s">
        <v>186</v>
      </c>
      <c r="B36" s="29">
        <f>B35/B13</f>
        <v>6.3879374071441578E-2</v>
      </c>
      <c r="C36" s="28" t="s">
        <v>46</v>
      </c>
      <c r="D36" s="28"/>
      <c r="E36" s="28"/>
      <c r="F36" s="28"/>
    </row>
    <row r="37" spans="1:6">
      <c r="A37" s="28" t="s">
        <v>187</v>
      </c>
      <c r="B37" s="29">
        <f>-B36</f>
        <v>-6.3879374071441578E-2</v>
      </c>
      <c r="C37" s="28" t="s">
        <v>50</v>
      </c>
      <c r="D37" s="28"/>
      <c r="E37" s="28"/>
      <c r="F37" s="28" t="s">
        <v>52</v>
      </c>
    </row>
    <row r="38" spans="1:6">
      <c r="A38" s="28" t="s">
        <v>55</v>
      </c>
      <c r="B38" s="29">
        <f>-B78*0.9*B16</f>
        <v>-9.988022346368718E-4</v>
      </c>
      <c r="C38" s="28" t="s">
        <v>14</v>
      </c>
      <c r="D38" s="28"/>
      <c r="E38" s="28"/>
      <c r="F38" s="28" t="s">
        <v>56</v>
      </c>
    </row>
    <row r="39" spans="1:6">
      <c r="A39" s="28" t="s">
        <v>57</v>
      </c>
      <c r="B39" s="29">
        <f>-B78*0.9*B19*B17*(B20/62)</f>
        <v>-1.0603474770949726E-3</v>
      </c>
      <c r="C39" s="28" t="s">
        <v>14</v>
      </c>
      <c r="D39" s="28"/>
      <c r="E39" s="28"/>
      <c r="F39" s="28" t="s">
        <v>58</v>
      </c>
    </row>
    <row r="40" spans="1:6">
      <c r="A40" s="28" t="s">
        <v>59</v>
      </c>
      <c r="B40" s="29">
        <f>-B78*0.9*B19*B18*(B21/78)</f>
        <v>-3.0596519833834705E-4</v>
      </c>
      <c r="C40" s="28" t="s">
        <v>14</v>
      </c>
      <c r="D40" s="28"/>
      <c r="E40" s="28"/>
      <c r="F40" s="28" t="s">
        <v>60</v>
      </c>
    </row>
    <row r="41" spans="1:6">
      <c r="A41" s="28"/>
      <c r="B41" s="28"/>
      <c r="C41" s="28"/>
      <c r="D41" s="28"/>
      <c r="E41" s="28"/>
      <c r="F41" s="28"/>
    </row>
    <row r="42" spans="1:6" ht="15">
      <c r="A42" s="27" t="s">
        <v>61</v>
      </c>
      <c r="B42" s="28"/>
      <c r="C42" s="28"/>
      <c r="D42" s="28"/>
      <c r="E42" s="28"/>
      <c r="F42" s="28"/>
    </row>
    <row r="43" spans="1:6">
      <c r="A43" s="28" t="s">
        <v>62</v>
      </c>
      <c r="B43" s="28">
        <v>1</v>
      </c>
      <c r="C43" s="28" t="s">
        <v>14</v>
      </c>
      <c r="D43" s="28"/>
      <c r="E43" s="28"/>
      <c r="F43" s="28"/>
    </row>
    <row r="45" spans="1:6" ht="15">
      <c r="A45" s="1" t="s">
        <v>188</v>
      </c>
    </row>
    <row r="47" spans="1:6" ht="15">
      <c r="A47" s="18" t="s">
        <v>189</v>
      </c>
      <c r="B47" s="19"/>
      <c r="C47" s="19"/>
      <c r="D47" s="19"/>
      <c r="E47" s="19"/>
      <c r="F47" s="19"/>
    </row>
    <row r="48" spans="1:6" ht="15">
      <c r="A48" s="18" t="s">
        <v>44</v>
      </c>
      <c r="B48" s="19"/>
      <c r="C48" s="19"/>
      <c r="D48" s="19"/>
      <c r="E48" s="19"/>
      <c r="F48" s="19"/>
    </row>
    <row r="49" spans="1:6">
      <c r="A49" s="19" t="s">
        <v>85</v>
      </c>
      <c r="B49" s="20">
        <v>4.8703624122618545E-3</v>
      </c>
      <c r="C49" s="19" t="s">
        <v>65</v>
      </c>
      <c r="D49" s="41" t="s">
        <v>97</v>
      </c>
      <c r="E49" s="19" t="s">
        <v>98</v>
      </c>
      <c r="F49" s="19" t="s">
        <v>68</v>
      </c>
    </row>
    <row r="50" spans="1:6">
      <c r="A50" s="19" t="s">
        <v>99</v>
      </c>
      <c r="B50" s="20">
        <v>6.4102564102564103E-5</v>
      </c>
      <c r="C50" s="19" t="s">
        <v>14</v>
      </c>
      <c r="D50" s="19" t="s">
        <v>100</v>
      </c>
      <c r="E50" s="19" t="s">
        <v>101</v>
      </c>
      <c r="F50" s="19" t="s">
        <v>72</v>
      </c>
    </row>
    <row r="51" spans="1:6">
      <c r="A51" s="19"/>
      <c r="B51" s="19"/>
      <c r="C51" s="19"/>
      <c r="D51" s="19"/>
      <c r="E51" s="19"/>
      <c r="F51" s="19"/>
    </row>
    <row r="52" spans="1:6" ht="15">
      <c r="A52" s="18" t="s">
        <v>76</v>
      </c>
      <c r="B52" s="19"/>
      <c r="C52" s="19"/>
      <c r="D52" s="19"/>
      <c r="E52" s="19"/>
      <c r="F52" s="19"/>
    </row>
    <row r="53" spans="1:6">
      <c r="A53" s="19" t="s">
        <v>189</v>
      </c>
      <c r="B53" s="19">
        <v>1</v>
      </c>
      <c r="C53" s="19" t="s">
        <v>46</v>
      </c>
      <c r="D53" s="19"/>
      <c r="E53" s="19"/>
      <c r="F53" s="19"/>
    </row>
    <row r="54" spans="1:6">
      <c r="A54" s="19" t="s">
        <v>190</v>
      </c>
      <c r="B54" s="20">
        <f>0.253258845437616/1000</f>
        <v>2.5325884543761599E-4</v>
      </c>
      <c r="C54" s="19" t="s">
        <v>23</v>
      </c>
      <c r="D54" s="19"/>
      <c r="E54" s="19"/>
      <c r="F54" s="19" t="s">
        <v>104</v>
      </c>
    </row>
    <row r="55" spans="1:6">
      <c r="A55" s="19" t="s">
        <v>191</v>
      </c>
      <c r="B55" s="20">
        <v>0.2532588454376164</v>
      </c>
      <c r="C55" s="19" t="s">
        <v>14</v>
      </c>
      <c r="D55" s="19"/>
      <c r="E55" s="19"/>
      <c r="F55" s="19"/>
    </row>
    <row r="56" spans="1:6">
      <c r="A56" s="19" t="s">
        <v>192</v>
      </c>
      <c r="B56" s="20">
        <f>B55*(1-B14)</f>
        <v>7.5977653631284933E-2</v>
      </c>
      <c r="C56" s="19" t="s">
        <v>193</v>
      </c>
      <c r="D56" s="19"/>
      <c r="E56" s="19" t="s">
        <v>194</v>
      </c>
      <c r="F56" s="19"/>
    </row>
    <row r="58" spans="1:6" ht="15">
      <c r="A58" s="15" t="s">
        <v>195</v>
      </c>
      <c r="B58" s="16"/>
      <c r="C58" s="16"/>
      <c r="D58" s="16"/>
      <c r="E58" s="16"/>
      <c r="F58" s="16"/>
    </row>
    <row r="59" spans="1:6" ht="15">
      <c r="A59" s="15" t="s">
        <v>44</v>
      </c>
      <c r="B59" s="16"/>
      <c r="C59" s="16"/>
      <c r="D59" s="16"/>
      <c r="E59" s="16"/>
      <c r="F59" s="16"/>
    </row>
    <row r="60" spans="1:6">
      <c r="A60" s="16" t="s">
        <v>64</v>
      </c>
      <c r="B60" s="17">
        <f>0.3*(B55+B62)</f>
        <v>0.11396648044692738</v>
      </c>
      <c r="C60" s="16" t="s">
        <v>65</v>
      </c>
      <c r="D60" s="16"/>
      <c r="E60" s="16" t="s">
        <v>321</v>
      </c>
      <c r="F60" s="16" t="s">
        <v>68</v>
      </c>
    </row>
    <row r="61" spans="1:6">
      <c r="A61" s="16" t="s">
        <v>99</v>
      </c>
      <c r="B61" s="17">
        <v>2.2222222222222223E-5</v>
      </c>
      <c r="C61" s="16" t="s">
        <v>70</v>
      </c>
      <c r="D61" s="16"/>
      <c r="E61" s="16" t="s">
        <v>198</v>
      </c>
      <c r="F61" s="16" t="s">
        <v>72</v>
      </c>
    </row>
    <row r="62" spans="1:6">
      <c r="A62" s="16" t="s">
        <v>199</v>
      </c>
      <c r="B62" s="17">
        <f>(B56-B55*0.2)/0.2</f>
        <v>0.12662942271880825</v>
      </c>
      <c r="C62" s="16" t="s">
        <v>14</v>
      </c>
      <c r="D62" s="16"/>
      <c r="E62" s="16" t="s">
        <v>200</v>
      </c>
      <c r="F62" s="16" t="s">
        <v>201</v>
      </c>
    </row>
    <row r="63" spans="1:6">
      <c r="A63" s="16"/>
      <c r="B63" s="16"/>
      <c r="C63" s="16"/>
      <c r="D63" s="16"/>
      <c r="E63" s="16"/>
      <c r="F63" s="16"/>
    </row>
    <row r="64" spans="1:6" ht="15">
      <c r="A64" s="15" t="s">
        <v>61</v>
      </c>
      <c r="B64" s="16"/>
      <c r="C64" s="16"/>
      <c r="D64" s="16"/>
      <c r="E64" s="16"/>
      <c r="F64" s="16"/>
    </row>
    <row r="65" spans="1:6">
      <c r="A65" s="16" t="s">
        <v>202</v>
      </c>
      <c r="B65" s="16">
        <v>1</v>
      </c>
      <c r="C65" s="16" t="s">
        <v>46</v>
      </c>
      <c r="D65" s="16"/>
      <c r="E65" s="16"/>
      <c r="F65" s="16"/>
    </row>
    <row r="66" spans="1:6">
      <c r="A66" s="16" t="s">
        <v>203</v>
      </c>
      <c r="B66" s="17">
        <f>B56*B5/(1-B8)</f>
        <v>0.24266332231216522</v>
      </c>
      <c r="C66" s="16" t="s">
        <v>14</v>
      </c>
      <c r="D66" s="16"/>
      <c r="E66" s="16"/>
      <c r="F66" s="16"/>
    </row>
    <row r="67" spans="1:6">
      <c r="A67" s="16" t="s">
        <v>204</v>
      </c>
      <c r="B67" s="17">
        <f>(B55+B62)-(B66+B68+B69)</f>
        <v>0.13502159388895213</v>
      </c>
      <c r="C67" s="16" t="s">
        <v>14</v>
      </c>
      <c r="D67" s="16"/>
      <c r="E67" s="16"/>
      <c r="F67" s="16"/>
    </row>
    <row r="68" spans="1:6">
      <c r="A68" s="16" t="s">
        <v>92</v>
      </c>
      <c r="B68" s="17">
        <f>B56*B7*0.95</f>
        <v>2.0931843575418998E-3</v>
      </c>
      <c r="C68" s="16" t="s">
        <v>14</v>
      </c>
      <c r="D68" s="16"/>
      <c r="E68" s="16" t="s">
        <v>205</v>
      </c>
      <c r="F68" s="16"/>
    </row>
    <row r="69" spans="1:6">
      <c r="A69" s="16" t="s">
        <v>133</v>
      </c>
      <c r="B69" s="17">
        <f>B56*B7*0.05</f>
        <v>1.1016759776536316E-4</v>
      </c>
      <c r="C69" s="16" t="s">
        <v>14</v>
      </c>
      <c r="D69" s="16"/>
      <c r="E69" s="16"/>
      <c r="F69" s="16"/>
    </row>
    <row r="71" spans="1:6" ht="15">
      <c r="A71" s="12" t="s">
        <v>206</v>
      </c>
      <c r="B71" s="11"/>
      <c r="C71" s="11"/>
      <c r="D71" s="11"/>
      <c r="E71" s="11"/>
      <c r="F71" s="11"/>
    </row>
    <row r="72" spans="1:6" ht="15">
      <c r="A72" s="12" t="s">
        <v>44</v>
      </c>
      <c r="B72" s="11"/>
      <c r="C72" s="11"/>
      <c r="D72" s="11"/>
      <c r="E72" s="11"/>
      <c r="F72" s="11"/>
    </row>
    <row r="73" spans="1:6">
      <c r="A73" s="11" t="s">
        <v>64</v>
      </c>
      <c r="B73" s="14">
        <f>(B66 - (B66 * (1 - B8) / (1 - 0.1))) * (2260 / (0.7 * 3600))</f>
        <v>0.17023238638957117</v>
      </c>
      <c r="C73" s="11" t="s">
        <v>65</v>
      </c>
      <c r="D73" s="11"/>
      <c r="E73" s="11" t="s">
        <v>207</v>
      </c>
      <c r="F73" s="11" t="s">
        <v>68</v>
      </c>
    </row>
    <row r="74" spans="1:6">
      <c r="A74" s="11" t="s">
        <v>208</v>
      </c>
      <c r="B74" s="14">
        <v>2.1367521367521368E-5</v>
      </c>
      <c r="C74" s="11" t="s">
        <v>14</v>
      </c>
      <c r="D74" s="11"/>
      <c r="E74" s="11" t="s">
        <v>209</v>
      </c>
      <c r="F74" s="11" t="s">
        <v>72</v>
      </c>
    </row>
    <row r="75" spans="1:6">
      <c r="A75" s="11"/>
      <c r="B75" s="11"/>
      <c r="C75" s="11"/>
      <c r="D75" s="11"/>
      <c r="E75" s="11"/>
      <c r="F75" s="11"/>
    </row>
    <row r="76" spans="1:6" ht="15">
      <c r="A76" s="12" t="s">
        <v>61</v>
      </c>
      <c r="B76" s="11"/>
      <c r="C76" s="11"/>
      <c r="D76" s="11"/>
      <c r="E76" s="11"/>
      <c r="F76" s="11"/>
    </row>
    <row r="77" spans="1:6">
      <c r="A77" s="11" t="s">
        <v>180</v>
      </c>
      <c r="B77" s="11">
        <v>1</v>
      </c>
      <c r="C77" s="11" t="s">
        <v>46</v>
      </c>
      <c r="D77" s="11"/>
      <c r="E77" s="11"/>
      <c r="F77" s="11"/>
    </row>
    <row r="78" spans="1:6">
      <c r="A78" s="11" t="s">
        <v>210</v>
      </c>
      <c r="B78" s="14">
        <f>(B66*(1-B8))/0.9</f>
        <v>5.2846679081315968E-2</v>
      </c>
      <c r="C78" s="11" t="s">
        <v>14</v>
      </c>
      <c r="D78" s="14"/>
      <c r="E78" s="11" t="s">
        <v>211</v>
      </c>
      <c r="F78" s="11"/>
    </row>
    <row r="79" spans="1:6">
      <c r="A79" s="11" t="s">
        <v>212</v>
      </c>
      <c r="B79" s="14">
        <f>(B66-B78)/1000</f>
        <v>1.8981664323084927E-4</v>
      </c>
      <c r="C79" s="11" t="s">
        <v>23</v>
      </c>
      <c r="D79" s="14"/>
      <c r="E79" s="11"/>
      <c r="F79" s="11" t="s">
        <v>104</v>
      </c>
    </row>
    <row r="82" spans="1:6" ht="15">
      <c r="A82" s="27" t="s">
        <v>184</v>
      </c>
      <c r="B82" s="39" t="s">
        <v>80</v>
      </c>
      <c r="C82" s="29">
        <v>1</v>
      </c>
      <c r="D82" s="28"/>
      <c r="E82" s="28" t="s">
        <v>286</v>
      </c>
      <c r="F82" s="28"/>
    </row>
    <row r="83" spans="1:6" ht="15">
      <c r="A83" s="27" t="s">
        <v>44</v>
      </c>
      <c r="B83" s="28"/>
      <c r="C83" s="28"/>
      <c r="D83" s="28"/>
      <c r="E83" s="28"/>
      <c r="F83" s="28"/>
    </row>
    <row r="84" spans="1:6">
      <c r="A84" s="28" t="s">
        <v>287</v>
      </c>
      <c r="B84" s="28">
        <v>0</v>
      </c>
      <c r="C84" s="28" t="s">
        <v>73</v>
      </c>
      <c r="D84" s="28"/>
      <c r="E84" s="28"/>
      <c r="F84" s="28" t="s">
        <v>84</v>
      </c>
    </row>
    <row r="85" spans="1:6">
      <c r="A85" s="28" t="s">
        <v>85</v>
      </c>
      <c r="B85" s="28">
        <v>0</v>
      </c>
      <c r="C85" s="28" t="s">
        <v>65</v>
      </c>
      <c r="D85" s="28"/>
      <c r="E85" s="28"/>
      <c r="F85" s="28" t="s">
        <v>68</v>
      </c>
    </row>
    <row r="86" spans="1:6">
      <c r="A86" s="28" t="s">
        <v>288</v>
      </c>
      <c r="B86" s="28">
        <v>0</v>
      </c>
      <c r="C86" s="28" t="s">
        <v>50</v>
      </c>
      <c r="D86" s="28"/>
      <c r="E86" s="28"/>
      <c r="F86" s="28" t="s">
        <v>88</v>
      </c>
    </row>
    <row r="87" spans="1:6">
      <c r="A87" s="28"/>
      <c r="B87" s="28"/>
      <c r="C87" s="28"/>
      <c r="D87" s="28"/>
      <c r="E87" s="28"/>
      <c r="F87" s="28"/>
    </row>
    <row r="88" spans="1:6" ht="15">
      <c r="A88" s="27" t="s">
        <v>76</v>
      </c>
      <c r="B88" s="28"/>
      <c r="C88" s="28"/>
      <c r="D88" s="28"/>
      <c r="E88" s="28"/>
      <c r="F88" s="28"/>
    </row>
    <row r="89" spans="1:6">
      <c r="A89" s="28" t="s">
        <v>45</v>
      </c>
      <c r="B89" s="28">
        <v>1</v>
      </c>
      <c r="C89" s="28" t="s">
        <v>73</v>
      </c>
      <c r="D89" s="28"/>
      <c r="E89" s="28"/>
      <c r="F89" s="28"/>
    </row>
    <row r="90" spans="1:6">
      <c r="A90" s="28" t="s">
        <v>289</v>
      </c>
      <c r="B90" s="29">
        <f>B11*B10*B67/0.6</f>
        <v>2.4653862871371546</v>
      </c>
      <c r="C90" s="28" t="s">
        <v>290</v>
      </c>
      <c r="D90" s="28"/>
      <c r="E90" s="28"/>
      <c r="F90" s="28"/>
    </row>
    <row r="91" spans="1:6">
      <c r="A91" s="28" t="s">
        <v>291</v>
      </c>
      <c r="B91" s="37">
        <f>B67-B104</f>
        <v>0.1320296869850098</v>
      </c>
      <c r="C91" s="28" t="s">
        <v>14</v>
      </c>
      <c r="D91" s="28"/>
      <c r="E91" s="28"/>
      <c r="F91" s="28" t="s">
        <v>104</v>
      </c>
    </row>
    <row r="92" spans="1:6">
      <c r="A92" s="28" t="s">
        <v>91</v>
      </c>
      <c r="B92" s="28">
        <v>0</v>
      </c>
      <c r="C92" s="29" t="s">
        <v>14</v>
      </c>
      <c r="D92" s="28"/>
      <c r="E92" s="28"/>
      <c r="F92" s="28"/>
    </row>
    <row r="93" spans="1:6">
      <c r="A93" s="28" t="s">
        <v>92</v>
      </c>
      <c r="B93" s="28">
        <v>0</v>
      </c>
      <c r="C93" s="29" t="s">
        <v>14</v>
      </c>
      <c r="D93" s="28"/>
      <c r="E93" s="28"/>
      <c r="F93" s="28"/>
    </row>
    <row r="94" spans="1:6">
      <c r="A94" s="28" t="s">
        <v>93</v>
      </c>
      <c r="B94" s="28">
        <v>0</v>
      </c>
      <c r="C94" s="29" t="s">
        <v>14</v>
      </c>
      <c r="D94" s="28"/>
      <c r="E94" s="28"/>
      <c r="F94" s="28"/>
    </row>
    <row r="95" spans="1:6">
      <c r="A95" s="28" t="s">
        <v>94</v>
      </c>
      <c r="B95" s="28">
        <v>0</v>
      </c>
      <c r="C95" s="29" t="s">
        <v>14</v>
      </c>
      <c r="D95" s="28"/>
      <c r="E95" s="28"/>
      <c r="F95" s="28"/>
    </row>
    <row r="96" spans="1:6">
      <c r="A96" s="28" t="s">
        <v>95</v>
      </c>
      <c r="B96" s="28">
        <v>0</v>
      </c>
      <c r="C96" s="29" t="s">
        <v>14</v>
      </c>
      <c r="D96" s="28"/>
      <c r="E96" s="28"/>
      <c r="F96" s="28"/>
    </row>
    <row r="98" spans="1:6" ht="15">
      <c r="A98" s="4" t="s">
        <v>293</v>
      </c>
      <c r="B98" s="2"/>
      <c r="C98" s="2"/>
      <c r="D98" s="2"/>
      <c r="E98" s="2"/>
      <c r="F98" s="2"/>
    </row>
    <row r="99" spans="1:6">
      <c r="A99" s="5" t="s">
        <v>294</v>
      </c>
      <c r="B99" s="5">
        <f>B11*B10*B67/0.6</f>
        <v>2.4653862871371546</v>
      </c>
      <c r="C99" s="5" t="s">
        <v>295</v>
      </c>
      <c r="D99" s="2"/>
      <c r="E99" s="2"/>
      <c r="F99" s="2"/>
    </row>
    <row r="100" spans="1:6">
      <c r="A100" s="2" t="s">
        <v>296</v>
      </c>
      <c r="B100" s="2"/>
      <c r="C100" s="2"/>
      <c r="D100" s="2"/>
      <c r="E100" s="5"/>
      <c r="F100" s="2"/>
    </row>
    <row r="101" spans="1:6">
      <c r="A101" s="2" t="s">
        <v>297</v>
      </c>
      <c r="B101" s="5">
        <f>B67</f>
        <v>0.13502159388895213</v>
      </c>
      <c r="C101" s="5" t="s">
        <v>14</v>
      </c>
      <c r="D101" s="5"/>
      <c r="E101" s="5"/>
      <c r="F101" s="2"/>
    </row>
    <row r="102" spans="1:6">
      <c r="A102" s="2" t="s">
        <v>298</v>
      </c>
      <c r="B102" s="5">
        <f>(1*B90)/(0.0821*273)</f>
        <v>0.10999657735082091</v>
      </c>
      <c r="C102" s="2"/>
      <c r="D102" s="5"/>
      <c r="E102" s="5"/>
      <c r="F102" s="2"/>
    </row>
    <row r="103" spans="1:6">
      <c r="A103" s="2" t="s">
        <v>299</v>
      </c>
      <c r="B103" s="2">
        <f>16*0.6+44*0.4</f>
        <v>27.200000000000003</v>
      </c>
      <c r="C103" s="2" t="s">
        <v>40</v>
      </c>
      <c r="D103" s="2"/>
      <c r="E103" s="2"/>
      <c r="F103" s="2"/>
    </row>
    <row r="104" spans="1:6">
      <c r="A104" s="2" t="s">
        <v>300</v>
      </c>
      <c r="B104" s="5">
        <f>B103*B102/1000</f>
        <v>2.9919069039423293E-3</v>
      </c>
      <c r="C104" s="2" t="s">
        <v>14</v>
      </c>
      <c r="D104" s="2"/>
      <c r="E104" s="2"/>
      <c r="F104" s="2"/>
    </row>
    <row r="105" spans="1:6" ht="20.25">
      <c r="A105" s="2" t="s">
        <v>301</v>
      </c>
      <c r="B105" s="5">
        <f>B101-B104</f>
        <v>0.1320296869850098</v>
      </c>
      <c r="C105" s="2" t="s">
        <v>14</v>
      </c>
      <c r="D105" s="2"/>
      <c r="E105" s="40"/>
      <c r="F105" s="2"/>
    </row>
    <row r="106" spans="1:6">
      <c r="A106" s="2" t="s">
        <v>302</v>
      </c>
      <c r="B106" s="5">
        <f>(B67)/(B104/B4)</f>
        <v>55.102438488703839</v>
      </c>
      <c r="C106" s="2" t="s">
        <v>14</v>
      </c>
      <c r="D106" s="2"/>
      <c r="E106" s="2"/>
      <c r="F106" s="2"/>
    </row>
    <row r="108" spans="1:6" ht="15">
      <c r="A108" s="33" t="s">
        <v>303</v>
      </c>
      <c r="B108" s="24"/>
      <c r="C108" s="25"/>
      <c r="D108" s="24" t="s">
        <v>108</v>
      </c>
      <c r="E108" s="25"/>
      <c r="F108" s="25"/>
    </row>
    <row r="109" spans="1:6" ht="15">
      <c r="A109" s="24" t="s">
        <v>44</v>
      </c>
      <c r="B109" s="25"/>
      <c r="C109" s="25"/>
      <c r="D109" s="25"/>
      <c r="E109" s="25"/>
      <c r="F109" s="25"/>
    </row>
    <row r="110" spans="1:6">
      <c r="A110" s="25" t="s">
        <v>109</v>
      </c>
      <c r="B110" s="26">
        <v>2.0799999999999999E-4</v>
      </c>
      <c r="C110" s="25" t="s">
        <v>14</v>
      </c>
      <c r="D110" s="25"/>
      <c r="E110" s="25"/>
      <c r="F110" s="25" t="s">
        <v>110</v>
      </c>
    </row>
    <row r="111" spans="1:6">
      <c r="A111" s="25" t="s">
        <v>111</v>
      </c>
      <c r="B111" s="26">
        <v>5.4000000000000001E-11</v>
      </c>
      <c r="C111" s="25" t="s">
        <v>46</v>
      </c>
      <c r="D111" s="25"/>
      <c r="E111" s="25"/>
      <c r="F111" s="25" t="s">
        <v>112</v>
      </c>
    </row>
    <row r="112" spans="1:6">
      <c r="A112" s="25" t="s">
        <v>85</v>
      </c>
      <c r="B112" s="25">
        <v>0.18562874251497</v>
      </c>
      <c r="C112" s="25" t="s">
        <v>86</v>
      </c>
      <c r="D112" s="25"/>
      <c r="E112" s="25"/>
      <c r="F112" s="25" t="s">
        <v>68</v>
      </c>
    </row>
    <row r="113" spans="1:6">
      <c r="A113" s="25" t="s">
        <v>113</v>
      </c>
      <c r="B113" s="26">
        <v>1.4999999999999999E-4</v>
      </c>
      <c r="C113" s="25" t="s">
        <v>14</v>
      </c>
      <c r="D113" s="25"/>
      <c r="E113" s="25"/>
      <c r="F113" s="25" t="s">
        <v>114</v>
      </c>
    </row>
    <row r="114" spans="1:6">
      <c r="A114" s="25" t="s">
        <v>115</v>
      </c>
      <c r="B114" s="26">
        <v>3.98E-6</v>
      </c>
      <c r="C114" s="25" t="s">
        <v>14</v>
      </c>
      <c r="D114" s="25"/>
      <c r="E114" s="25"/>
      <c r="F114" s="25" t="s">
        <v>116</v>
      </c>
    </row>
    <row r="115" spans="1:6">
      <c r="A115" s="25"/>
      <c r="B115" s="25"/>
      <c r="C115" s="25"/>
      <c r="D115" s="25"/>
      <c r="E115" s="25"/>
      <c r="F115" s="25"/>
    </row>
    <row r="116" spans="1:6" ht="15">
      <c r="A116" s="24" t="s">
        <v>61</v>
      </c>
      <c r="B116" s="25"/>
      <c r="C116" s="25"/>
      <c r="D116" s="25"/>
      <c r="E116" s="25"/>
      <c r="F116" s="25"/>
    </row>
    <row r="117" spans="1:6">
      <c r="A117" s="25" t="s">
        <v>47</v>
      </c>
      <c r="B117" s="25">
        <v>1</v>
      </c>
      <c r="C117" s="25" t="s">
        <v>46</v>
      </c>
      <c r="D117" s="25"/>
      <c r="E117" s="25"/>
      <c r="F117" s="25"/>
    </row>
    <row r="118" spans="1:6">
      <c r="A118" s="25" t="s">
        <v>117</v>
      </c>
      <c r="B118" s="25">
        <v>1</v>
      </c>
      <c r="C118" s="25" t="s">
        <v>23</v>
      </c>
      <c r="D118" s="25"/>
      <c r="E118" s="25"/>
      <c r="F118" s="25"/>
    </row>
    <row r="119" spans="1:6">
      <c r="A119" s="25" t="s">
        <v>92</v>
      </c>
      <c r="B119" s="26">
        <v>0.97457000000000005</v>
      </c>
      <c r="C119" s="25" t="s">
        <v>14</v>
      </c>
      <c r="D119" s="25"/>
      <c r="E119" s="25"/>
      <c r="F119" s="25"/>
    </row>
    <row r="120" spans="1:6">
      <c r="A120" s="25" t="s">
        <v>118</v>
      </c>
      <c r="B120" s="26">
        <v>1.28</v>
      </c>
      <c r="C120" s="25" t="s">
        <v>50</v>
      </c>
      <c r="D120" s="25"/>
      <c r="E120" s="25"/>
      <c r="F120" s="25"/>
    </row>
    <row r="121" spans="1:6">
      <c r="A121" s="25" t="s">
        <v>94</v>
      </c>
      <c r="B121" s="26">
        <v>6.7000000000000002E-6</v>
      </c>
      <c r="C121" s="25" t="s">
        <v>14</v>
      </c>
      <c r="D121" s="25"/>
      <c r="E121" s="25"/>
      <c r="F121" s="25"/>
    </row>
    <row r="122" spans="1:6">
      <c r="A122" s="25" t="s">
        <v>95</v>
      </c>
      <c r="B122" s="25">
        <v>8.6E-3</v>
      </c>
      <c r="C122" s="25" t="s">
        <v>14</v>
      </c>
      <c r="D122" s="25"/>
      <c r="E122" s="25"/>
      <c r="F122" s="25"/>
    </row>
    <row r="123" spans="1:6">
      <c r="A123" s="25" t="s">
        <v>119</v>
      </c>
      <c r="B123" s="25">
        <v>4.8779999999999997E-2</v>
      </c>
      <c r="C123" s="25" t="s">
        <v>14</v>
      </c>
      <c r="D123" s="25"/>
      <c r="E123" s="25"/>
      <c r="F123" s="25"/>
    </row>
    <row r="124" spans="1:6">
      <c r="A124" s="25" t="s">
        <v>120</v>
      </c>
      <c r="B124" s="26">
        <v>6.5989999999999998E-6</v>
      </c>
      <c r="C124" s="25" t="s">
        <v>14</v>
      </c>
      <c r="D124" s="25"/>
      <c r="E124" s="25"/>
      <c r="F124" s="25"/>
    </row>
    <row r="126" spans="1:6" ht="15">
      <c r="A126" s="34" t="s">
        <v>186</v>
      </c>
      <c r="B126" s="28"/>
      <c r="C126" s="28"/>
      <c r="D126" s="27" t="s">
        <v>121</v>
      </c>
      <c r="E126" s="28"/>
      <c r="F126" s="28"/>
    </row>
    <row r="127" spans="1:6" ht="15">
      <c r="A127" s="27" t="s">
        <v>44</v>
      </c>
      <c r="B127" s="28"/>
      <c r="C127" s="28"/>
      <c r="D127" s="28"/>
      <c r="E127" s="28"/>
      <c r="F127" s="28"/>
    </row>
    <row r="128" spans="1:6">
      <c r="A128" s="28" t="s">
        <v>85</v>
      </c>
      <c r="B128" s="28">
        <v>2.7244000000000001E-3</v>
      </c>
      <c r="C128" s="28" t="s">
        <v>86</v>
      </c>
      <c r="D128" s="28"/>
      <c r="E128" s="28"/>
      <c r="F128" s="28" t="s">
        <v>68</v>
      </c>
    </row>
    <row r="129" spans="1:6">
      <c r="A129" s="28" t="s">
        <v>122</v>
      </c>
      <c r="B129" s="29">
        <v>6.4679999999999999E-7</v>
      </c>
      <c r="C129" s="28" t="s">
        <v>46</v>
      </c>
      <c r="D129" s="28"/>
      <c r="E129" s="28"/>
      <c r="F129" s="28" t="s">
        <v>123</v>
      </c>
    </row>
    <row r="130" spans="1:6">
      <c r="A130" s="28"/>
      <c r="B130" s="28"/>
      <c r="C130" s="28"/>
      <c r="D130" s="28"/>
      <c r="E130" s="28"/>
      <c r="F130" s="28"/>
    </row>
    <row r="131" spans="1:6" ht="15">
      <c r="A131" s="27" t="s">
        <v>61</v>
      </c>
      <c r="B131" s="28"/>
      <c r="C131" s="28"/>
      <c r="D131" s="28"/>
      <c r="E131" s="28"/>
      <c r="F131" s="28"/>
    </row>
    <row r="132" spans="1:6">
      <c r="A132" s="28" t="s">
        <v>124</v>
      </c>
      <c r="B132" s="28">
        <v>1</v>
      </c>
      <c r="C132" s="28" t="s">
        <v>46</v>
      </c>
      <c r="D132" s="28"/>
      <c r="E132" s="28"/>
      <c r="F132" s="28"/>
    </row>
    <row r="133" spans="1:6">
      <c r="A133" s="28" t="s">
        <v>125</v>
      </c>
      <c r="B133" s="28">
        <v>0</v>
      </c>
      <c r="C133" s="28" t="s">
        <v>50</v>
      </c>
      <c r="D133" s="28"/>
      <c r="E133" s="28" t="s">
        <v>126</v>
      </c>
      <c r="F133" s="28"/>
    </row>
    <row r="134" spans="1:6">
      <c r="A134" s="28" t="s">
        <v>128</v>
      </c>
      <c r="B134" s="29">
        <v>9.7999999999999992E-10</v>
      </c>
      <c r="C134" s="28" t="s">
        <v>14</v>
      </c>
      <c r="D134" s="28"/>
      <c r="E134" s="28"/>
      <c r="F134" s="28"/>
    </row>
    <row r="135" spans="1:6">
      <c r="A135" s="28" t="s">
        <v>129</v>
      </c>
      <c r="B135" s="29">
        <v>1.4700000000000001E-7</v>
      </c>
      <c r="C135" s="28" t="s">
        <v>14</v>
      </c>
      <c r="D135" s="28"/>
      <c r="E135" s="28"/>
      <c r="F135" s="28"/>
    </row>
    <row r="136" spans="1:6">
      <c r="A136" s="28" t="s">
        <v>130</v>
      </c>
      <c r="B136" s="29">
        <v>3.9200000000000002E-7</v>
      </c>
      <c r="C136" s="28" t="s">
        <v>14</v>
      </c>
      <c r="D136" s="28"/>
      <c r="E136" s="28"/>
      <c r="F136" s="28"/>
    </row>
    <row r="137" spans="1:6">
      <c r="A137" s="28" t="s">
        <v>131</v>
      </c>
      <c r="B137" s="29">
        <v>9.7999999999999994E-12</v>
      </c>
      <c r="C137" s="28" t="s">
        <v>14</v>
      </c>
      <c r="D137" s="28"/>
      <c r="E137" s="28"/>
      <c r="F137" s="28"/>
    </row>
    <row r="138" spans="1:6">
      <c r="A138" s="28" t="s">
        <v>132</v>
      </c>
      <c r="B138" s="29">
        <v>6.8599999999999998E-7</v>
      </c>
      <c r="C138" s="28" t="s">
        <v>14</v>
      </c>
      <c r="D138" s="28"/>
      <c r="E138" s="28"/>
      <c r="F138" s="28"/>
    </row>
    <row r="139" spans="1:6">
      <c r="A139" s="28" t="s">
        <v>92</v>
      </c>
      <c r="B139" s="28">
        <v>5.4879999999999998E-2</v>
      </c>
      <c r="C139" s="28" t="s">
        <v>14</v>
      </c>
      <c r="D139" s="28"/>
      <c r="E139" s="28"/>
      <c r="F139" s="28"/>
    </row>
    <row r="140" spans="1:6">
      <c r="A140" s="28" t="s">
        <v>133</v>
      </c>
      <c r="B140" s="29">
        <v>5.7819999999999999E-6</v>
      </c>
      <c r="C140" s="28" t="s">
        <v>14</v>
      </c>
      <c r="D140" s="28"/>
      <c r="E140" s="28"/>
      <c r="F140" s="28"/>
    </row>
    <row r="141" spans="1:6">
      <c r="A141" s="28" t="s">
        <v>93</v>
      </c>
      <c r="B141" s="29">
        <v>4.8999999999999997E-7</v>
      </c>
      <c r="C141" s="28" t="s">
        <v>14</v>
      </c>
      <c r="D141" s="28"/>
      <c r="E141" s="28"/>
      <c r="F141" s="28"/>
    </row>
    <row r="142" spans="1:6">
      <c r="A142" s="28" t="s">
        <v>134</v>
      </c>
      <c r="B142" s="29">
        <v>2.9400000000000001E-17</v>
      </c>
      <c r="C142" s="28" t="s">
        <v>14</v>
      </c>
      <c r="D142" s="28"/>
      <c r="E142" s="28"/>
      <c r="F142" s="28"/>
    </row>
    <row r="143" spans="1:6">
      <c r="A143" s="28" t="s">
        <v>135</v>
      </c>
      <c r="B143" s="29">
        <v>9.8000000000000004E-8</v>
      </c>
      <c r="C143" s="28" t="s">
        <v>14</v>
      </c>
      <c r="D143" s="28"/>
      <c r="E143" s="28"/>
      <c r="F143" s="28"/>
    </row>
    <row r="144" spans="1:6">
      <c r="A144" s="28" t="s">
        <v>136</v>
      </c>
      <c r="B144" s="29">
        <v>2.9400000000000003E-11</v>
      </c>
      <c r="C144" s="28" t="s">
        <v>14</v>
      </c>
      <c r="D144" s="28"/>
      <c r="E144" s="28"/>
      <c r="F144" s="28"/>
    </row>
    <row r="145" spans="1:6">
      <c r="A145" s="28" t="s">
        <v>95</v>
      </c>
      <c r="B145" s="29">
        <v>1.9599999999999999E-6</v>
      </c>
      <c r="C145" s="28" t="s">
        <v>14</v>
      </c>
      <c r="D145" s="28"/>
      <c r="E145" s="28"/>
      <c r="F145" s="28"/>
    </row>
    <row r="146" spans="1:6">
      <c r="A146" s="28" t="s">
        <v>137</v>
      </c>
      <c r="B146" s="29">
        <v>1.2739999999999999E-7</v>
      </c>
      <c r="C146" s="28" t="s">
        <v>14</v>
      </c>
      <c r="D146" s="28"/>
      <c r="E146" s="28"/>
      <c r="F146" s="28"/>
    </row>
    <row r="147" spans="1:6">
      <c r="A147" s="28" t="s">
        <v>138</v>
      </c>
      <c r="B147" s="29">
        <v>2.9400000000000002E-9</v>
      </c>
      <c r="C147" s="28" t="s">
        <v>14</v>
      </c>
      <c r="D147" s="28"/>
      <c r="E147" s="28"/>
      <c r="F147" s="28"/>
    </row>
    <row r="148" spans="1:6">
      <c r="A148" s="28" t="s">
        <v>139</v>
      </c>
      <c r="B148" s="29">
        <v>9.7019999999999996E-6</v>
      </c>
      <c r="C148" s="28" t="s">
        <v>14</v>
      </c>
      <c r="D148" s="28"/>
      <c r="E148" s="28"/>
      <c r="F148" s="28"/>
    </row>
    <row r="149" spans="1:6">
      <c r="A149" s="28" t="s">
        <v>140</v>
      </c>
      <c r="B149" s="29">
        <v>9.8000000000000001E-9</v>
      </c>
      <c r="C149" s="28" t="s">
        <v>14</v>
      </c>
      <c r="D149" s="28"/>
      <c r="E149" s="28"/>
      <c r="F149" s="28"/>
    </row>
    <row r="150" spans="1:6">
      <c r="A150" s="28" t="s">
        <v>141</v>
      </c>
      <c r="B150" s="29">
        <v>9.8000000000000004E-8</v>
      </c>
      <c r="C150" s="28" t="s">
        <v>14</v>
      </c>
      <c r="D150" s="28"/>
      <c r="E150" s="28"/>
      <c r="F150" s="28"/>
    </row>
    <row r="151" spans="1:6">
      <c r="A151" s="28" t="s">
        <v>142</v>
      </c>
      <c r="B151" s="29">
        <v>1.176E-6</v>
      </c>
      <c r="C151" s="28" t="s">
        <v>14</v>
      </c>
      <c r="D151" s="28"/>
      <c r="E151" s="28"/>
      <c r="F151" s="28"/>
    </row>
    <row r="152" spans="1:6">
      <c r="A152" s="28" t="s">
        <v>143</v>
      </c>
      <c r="B152" s="29">
        <v>1.9600000000000001E-7</v>
      </c>
      <c r="C152" s="28" t="s">
        <v>14</v>
      </c>
      <c r="D152" s="28"/>
      <c r="E152" s="28"/>
      <c r="F152" s="28"/>
    </row>
    <row r="153" spans="1:6">
      <c r="A153" s="28" t="s">
        <v>144</v>
      </c>
      <c r="B153" s="29">
        <v>1.96E-8</v>
      </c>
      <c r="C153" s="28" t="s">
        <v>14</v>
      </c>
      <c r="D153" s="28"/>
      <c r="E153" s="28"/>
      <c r="F153" s="28"/>
    </row>
    <row r="154" spans="1:6">
      <c r="A154" s="28" t="s">
        <v>145</v>
      </c>
      <c r="B154" s="29">
        <v>4.9000000000000002E-8</v>
      </c>
      <c r="C154" s="28" t="s">
        <v>14</v>
      </c>
      <c r="D154" s="28"/>
      <c r="E154" s="28"/>
      <c r="F154" s="28"/>
    </row>
    <row r="155" spans="1:6">
      <c r="A155" s="28" t="s">
        <v>146</v>
      </c>
      <c r="B155" s="29">
        <v>4.9000000000000002E-8</v>
      </c>
      <c r="C155" s="28" t="s">
        <v>14</v>
      </c>
      <c r="D155" s="28"/>
      <c r="E155" s="28"/>
      <c r="F155" s="28"/>
    </row>
    <row r="156" spans="1:6">
      <c r="A156" s="28" t="s">
        <v>120</v>
      </c>
      <c r="B156" s="29">
        <v>4.8999999999999997E-7</v>
      </c>
      <c r="C156" s="28" t="s">
        <v>14</v>
      </c>
      <c r="D156" s="28"/>
      <c r="E156" s="28"/>
      <c r="F156" s="28"/>
    </row>
    <row r="157" spans="1:6">
      <c r="A157" s="28" t="s">
        <v>147</v>
      </c>
      <c r="B157" s="29">
        <v>1.9600000000000001E-7</v>
      </c>
      <c r="C157" s="28" t="s">
        <v>14</v>
      </c>
      <c r="D157" s="28"/>
      <c r="E157" s="28"/>
      <c r="F157" s="28"/>
    </row>
    <row r="159" spans="1:6" ht="15">
      <c r="A159" s="30" t="s">
        <v>304</v>
      </c>
      <c r="B159" s="16"/>
      <c r="C159" s="16"/>
      <c r="D159" s="16"/>
      <c r="E159" s="16"/>
      <c r="F159" s="16"/>
    </row>
    <row r="160" spans="1:6" ht="15">
      <c r="A160" s="15" t="s">
        <v>44</v>
      </c>
      <c r="B160" s="16"/>
      <c r="C160" s="16"/>
      <c r="D160" s="16"/>
      <c r="E160" s="16"/>
      <c r="F160" s="16"/>
    </row>
    <row r="161" spans="1:6">
      <c r="A161" s="16" t="s">
        <v>85</v>
      </c>
      <c r="B161" s="16">
        <v>4.6333333333333296E-3</v>
      </c>
      <c r="C161" s="16" t="s">
        <v>86</v>
      </c>
      <c r="D161" s="16"/>
      <c r="E161" s="16"/>
      <c r="F161" s="16" t="s">
        <v>68</v>
      </c>
    </row>
    <row r="162" spans="1:6">
      <c r="A162" s="16" t="s">
        <v>149</v>
      </c>
      <c r="B162" s="17">
        <v>3.1111111111111102E-9</v>
      </c>
      <c r="C162" s="16" t="s">
        <v>46</v>
      </c>
      <c r="D162" s="16"/>
      <c r="E162" s="16"/>
      <c r="F162" s="16" t="s">
        <v>150</v>
      </c>
    </row>
    <row r="163" spans="1:6">
      <c r="A163" s="16" t="s">
        <v>151</v>
      </c>
      <c r="B163" s="16">
        <v>3.0864197530864199E-2</v>
      </c>
      <c r="C163" s="16" t="s">
        <v>23</v>
      </c>
      <c r="D163" s="16"/>
      <c r="E163" s="16"/>
      <c r="F163" s="16" t="s">
        <v>152</v>
      </c>
    </row>
    <row r="164" spans="1:6">
      <c r="A164" s="16"/>
      <c r="B164" s="16"/>
      <c r="C164" s="16"/>
      <c r="D164" s="16"/>
      <c r="E164" s="16"/>
      <c r="F164" s="16"/>
    </row>
    <row r="165" spans="1:6" ht="15">
      <c r="A165" s="15" t="s">
        <v>76</v>
      </c>
      <c r="B165" s="16"/>
      <c r="C165" s="16"/>
      <c r="D165" s="16"/>
      <c r="E165" s="16"/>
      <c r="F165" s="16"/>
    </row>
    <row r="166" spans="1:6">
      <c r="A166" s="16" t="s">
        <v>87</v>
      </c>
      <c r="B166" s="16">
        <v>1</v>
      </c>
      <c r="C166" s="16" t="s">
        <v>50</v>
      </c>
      <c r="D166" s="16"/>
      <c r="E166" s="16"/>
      <c r="F166" s="16"/>
    </row>
    <row r="167" spans="1:6">
      <c r="A167" s="16" t="s">
        <v>128</v>
      </c>
      <c r="B167" s="17">
        <v>1.11111111111111E-9</v>
      </c>
      <c r="C167" s="16" t="s">
        <v>14</v>
      </c>
      <c r="D167" s="16"/>
      <c r="E167" s="16"/>
      <c r="F167" s="16"/>
    </row>
    <row r="168" spans="1:6">
      <c r="A168" s="16" t="s">
        <v>129</v>
      </c>
      <c r="B168" s="17">
        <v>1.6666666666666699E-7</v>
      </c>
      <c r="C168" s="16" t="s">
        <v>14</v>
      </c>
      <c r="D168" s="44"/>
      <c r="E168" s="16"/>
      <c r="F168" s="16"/>
    </row>
    <row r="169" spans="1:6">
      <c r="A169" s="16" t="s">
        <v>130</v>
      </c>
      <c r="B169" s="17">
        <v>4.4444444444444401E-7</v>
      </c>
      <c r="C169" s="16" t="s">
        <v>14</v>
      </c>
      <c r="D169" s="16"/>
      <c r="E169" s="16"/>
      <c r="F169" s="16"/>
    </row>
    <row r="170" spans="1:6">
      <c r="A170" s="17" t="s">
        <v>131</v>
      </c>
      <c r="B170" s="17">
        <v>1.11111111111111E-11</v>
      </c>
      <c r="C170" s="16" t="s">
        <v>14</v>
      </c>
      <c r="D170" s="16"/>
      <c r="E170" s="16"/>
      <c r="F170" s="16"/>
    </row>
    <row r="171" spans="1:6">
      <c r="A171" s="17" t="s">
        <v>132</v>
      </c>
      <c r="B171" s="17">
        <v>7.77777777777778E-7</v>
      </c>
      <c r="C171" s="16" t="s">
        <v>14</v>
      </c>
      <c r="D171" s="16"/>
      <c r="E171" s="16"/>
      <c r="F171" s="16"/>
    </row>
    <row r="172" spans="1:6">
      <c r="A172" s="17" t="s">
        <v>153</v>
      </c>
      <c r="B172" s="16">
        <v>6.22222222222222E-2</v>
      </c>
      <c r="C172" s="16" t="s">
        <v>14</v>
      </c>
      <c r="D172" s="16"/>
      <c r="E172" s="16"/>
      <c r="F172" s="16"/>
    </row>
    <row r="173" spans="1:6">
      <c r="A173" s="17" t="s">
        <v>154</v>
      </c>
      <c r="B173" s="17">
        <v>1.5555555555555599E-5</v>
      </c>
      <c r="C173" s="16" t="s">
        <v>14</v>
      </c>
      <c r="D173" s="16"/>
      <c r="E173" s="16"/>
      <c r="F173" s="16"/>
    </row>
    <row r="174" spans="1:6">
      <c r="A174" s="17" t="s">
        <v>93</v>
      </c>
      <c r="B174" s="17">
        <v>1.11111111111111E-7</v>
      </c>
      <c r="C174" s="16" t="s">
        <v>14</v>
      </c>
      <c r="D174" s="16"/>
      <c r="E174" s="16"/>
      <c r="F174" s="16"/>
    </row>
    <row r="175" spans="1:6">
      <c r="A175" s="16" t="s">
        <v>134</v>
      </c>
      <c r="B175" s="17">
        <v>3.3333333333333298E-17</v>
      </c>
      <c r="C175" s="16" t="s">
        <v>14</v>
      </c>
      <c r="D175" s="16"/>
      <c r="E175" s="16"/>
      <c r="F175" s="17"/>
    </row>
    <row r="176" spans="1:6">
      <c r="A176" s="16" t="s">
        <v>135</v>
      </c>
      <c r="B176" s="17">
        <v>1.11111111111111E-7</v>
      </c>
      <c r="C176" s="16" t="s">
        <v>14</v>
      </c>
      <c r="D176" s="16"/>
      <c r="E176" s="17"/>
      <c r="F176" s="16"/>
    </row>
    <row r="177" spans="1:6">
      <c r="A177" s="17" t="s">
        <v>136</v>
      </c>
      <c r="B177" s="17">
        <v>3.3333333333333302E-11</v>
      </c>
      <c r="C177" s="16" t="s">
        <v>14</v>
      </c>
      <c r="D177" s="16"/>
      <c r="E177" s="16"/>
      <c r="F177" s="16"/>
    </row>
    <row r="178" spans="1:6">
      <c r="A178" s="16" t="s">
        <v>155</v>
      </c>
      <c r="B178" s="17">
        <v>2.22222222222222E-6</v>
      </c>
      <c r="C178" s="16" t="s">
        <v>14</v>
      </c>
      <c r="D178" s="16"/>
      <c r="E178" s="16"/>
      <c r="F178" s="16"/>
    </row>
    <row r="179" spans="1:6">
      <c r="A179" s="16" t="s">
        <v>139</v>
      </c>
      <c r="B179" s="17">
        <v>2.5555555555555602E-5</v>
      </c>
      <c r="C179" s="16" t="s">
        <v>14</v>
      </c>
      <c r="D179" s="16"/>
      <c r="E179" s="16"/>
      <c r="F179" s="16"/>
    </row>
    <row r="180" spans="1:6">
      <c r="A180" s="16" t="s">
        <v>140</v>
      </c>
      <c r="B180" s="17">
        <v>1.11111111111111E-8</v>
      </c>
      <c r="C180" s="16" t="s">
        <v>14</v>
      </c>
      <c r="D180" s="16"/>
      <c r="E180" s="16"/>
      <c r="F180" s="16"/>
    </row>
    <row r="181" spans="1:6">
      <c r="A181" s="16" t="s">
        <v>141</v>
      </c>
      <c r="B181" s="17">
        <v>1.11111111111111E-7</v>
      </c>
      <c r="C181" s="16" t="s">
        <v>14</v>
      </c>
      <c r="D181" s="16"/>
      <c r="E181" s="16"/>
      <c r="F181" s="16"/>
    </row>
    <row r="182" spans="1:6">
      <c r="A182" s="17" t="s">
        <v>142</v>
      </c>
      <c r="B182" s="17">
        <v>1.33333333333333E-6</v>
      </c>
      <c r="C182" s="16" t="s">
        <v>14</v>
      </c>
      <c r="D182" s="16"/>
      <c r="E182" s="16"/>
      <c r="F182" s="16"/>
    </row>
    <row r="183" spans="1:6">
      <c r="A183" s="17" t="s">
        <v>143</v>
      </c>
      <c r="B183" s="17">
        <v>2.2222222222222201E-7</v>
      </c>
      <c r="C183" s="16" t="s">
        <v>14</v>
      </c>
      <c r="D183" s="16"/>
      <c r="E183" s="16"/>
      <c r="F183" s="16"/>
    </row>
    <row r="184" spans="1:6">
      <c r="A184" s="16" t="s">
        <v>144</v>
      </c>
      <c r="B184" s="17">
        <v>2.2222222222222201E-8</v>
      </c>
      <c r="C184" s="16" t="s">
        <v>14</v>
      </c>
      <c r="D184" s="16"/>
      <c r="E184" s="16"/>
      <c r="F184" s="16"/>
    </row>
    <row r="185" spans="1:6">
      <c r="A185" s="16" t="s">
        <v>120</v>
      </c>
      <c r="B185" s="17">
        <v>6.1111111111111095E-7</v>
      </c>
      <c r="C185" s="16" t="s">
        <v>14</v>
      </c>
      <c r="D185" s="16"/>
      <c r="E185" s="16"/>
      <c r="F185" s="16"/>
    </row>
    <row r="186" spans="1:6">
      <c r="A186" s="17" t="s">
        <v>147</v>
      </c>
      <c r="B186" s="17">
        <v>2.2222222222222201E-7</v>
      </c>
      <c r="C186" s="16" t="s">
        <v>14</v>
      </c>
      <c r="D186" s="16"/>
      <c r="E186" s="16"/>
      <c r="F186" s="16"/>
    </row>
    <row r="190" spans="1:6">
      <c r="B190" s="3"/>
    </row>
    <row r="191" spans="1:6">
      <c r="B191" s="3"/>
    </row>
    <row r="192" spans="1:6">
      <c r="B192" s="3"/>
    </row>
    <row r="199" spans="1:6">
      <c r="E199" s="3"/>
      <c r="F199" s="3"/>
    </row>
    <row r="200" spans="1:6">
      <c r="B200" s="3"/>
      <c r="E200" s="3"/>
      <c r="F200" s="3"/>
    </row>
    <row r="201" spans="1:6">
      <c r="B201" s="3"/>
      <c r="C201" s="3"/>
      <c r="E201" s="3"/>
      <c r="F201" s="3"/>
    </row>
    <row r="202" spans="1:6">
      <c r="B202" s="3"/>
      <c r="C202" s="3"/>
      <c r="E202" s="3"/>
      <c r="F202" s="3"/>
    </row>
    <row r="203" spans="1:6">
      <c r="B203" s="3"/>
      <c r="E203" s="3"/>
      <c r="F203" s="3"/>
    </row>
    <row r="204" spans="1:6">
      <c r="B204" s="3"/>
    </row>
    <row r="205" spans="1:6">
      <c r="A205" s="3"/>
    </row>
  </sheetData>
  <hyperlinks>
    <hyperlink ref="D49" r:id="rId1" display="https://biogasworld.com/fr/product/gestion-du-digestat/deshydratation-du-digestat/pressoir-rotatif-fournier/" xr:uid="{D57DAE69-A62B-4A6B-8401-AC465B43CEB3}"/>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README</vt:lpstr>
      <vt:lpstr>baseline - AD of FW1</vt:lpstr>
      <vt:lpstr>baseline 2 - AD of FW2</vt:lpstr>
      <vt:lpstr>D1-HC-Fuel substitution</vt:lpstr>
      <vt:lpstr>D2-HC-Fuel substitution</vt:lpstr>
      <vt:lpstr>LR1-HC-Fuel substitution</vt:lpstr>
      <vt:lpstr>LR2-HC-Fuel substitution</vt:lpstr>
      <vt:lpstr>HR2-HC-Fuel substitution</vt:lpstr>
      <vt:lpstr>D1-HC-Soil amendment</vt:lpstr>
      <vt:lpstr>D2-HC-Soil amendment</vt:lpstr>
      <vt:lpstr>LR1-HC-Soil amendment</vt:lpstr>
      <vt:lpstr>LR2-HC-Soil amendment</vt:lpstr>
      <vt:lpstr>HR2-HC-Soil amendment</vt:lpstr>
      <vt:lpstr>D1-HC-no substitution</vt:lpstr>
      <vt:lpstr>D2-HC-no substitution</vt:lpstr>
      <vt:lpstr>LR1-HC-no substitution</vt:lpstr>
      <vt:lpstr>LR2-HC-no substitution</vt:lpstr>
      <vt:lpstr>HR2-HC-no substitution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kassem housseini</dc:creator>
  <cp:keywords/>
  <dc:description/>
  <cp:lastModifiedBy>Tanguay-Rioux, Fabrice</cp:lastModifiedBy>
  <cp:revision/>
  <dcterms:created xsi:type="dcterms:W3CDTF">2025-02-27T03:33:47Z</dcterms:created>
  <dcterms:modified xsi:type="dcterms:W3CDTF">2025-10-03T17:07:49Z</dcterms:modified>
  <cp:category/>
  <cp:contentStatus/>
</cp:coreProperties>
</file>