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ymtlca0-my.sharepoint.com/personal/ambroise_bellamy_polymtlus_ca/Documents/DOCUMENTS AMBROISE/Article de résultats/Resoumission EST Water 05012025/Révision mars 2025/Modifications article accepté/"/>
    </mc:Choice>
  </mc:AlternateContent>
  <xr:revisionPtr revIDLastSave="2131" documentId="8_{3A1E9D58-B56D-4E1F-81AA-A6540BABDA82}" xr6:coauthVersionLast="47" xr6:coauthVersionMax="47" xr10:uidLastSave="{BAE964EC-F984-42B7-A96B-54A65B4AD241}"/>
  <bookViews>
    <workbookView xWindow="-110" yWindow="-110" windowWidth="19420" windowHeight="11500" xr2:uid="{518E344B-CB73-411E-B5AB-91FEF3BB6999}"/>
  </bookViews>
  <sheets>
    <sheet name="Raw results fibers" sheetId="4" r:id="rId1"/>
    <sheet name="General results" sheetId="5" r:id="rId2"/>
    <sheet name="CI and COI" sheetId="7" r:id="rId3"/>
    <sheet name="PET and PVC FTIR validation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7" l="1"/>
  <c r="R10" i="7"/>
  <c r="R4" i="7"/>
  <c r="R5" i="7"/>
  <c r="R6" i="7"/>
  <c r="R7" i="7"/>
  <c r="R8" i="7"/>
  <c r="R3" i="7"/>
  <c r="Q3" i="7"/>
  <c r="Q4" i="7"/>
  <c r="Q5" i="7"/>
  <c r="Q6" i="7"/>
  <c r="Q7" i="7"/>
  <c r="Q8" i="7"/>
  <c r="Q10" i="7"/>
  <c r="Q11" i="7"/>
  <c r="AA38" i="5"/>
  <c r="AA14" i="5"/>
  <c r="AA15" i="5"/>
  <c r="AA16" i="5"/>
  <c r="D3" i="8"/>
  <c r="F60" i="7"/>
  <c r="F58" i="7"/>
  <c r="F59" i="7"/>
  <c r="F61" i="7"/>
  <c r="F62" i="7"/>
  <c r="F57" i="7"/>
  <c r="I37" i="7" s="1"/>
  <c r="F53" i="7"/>
  <c r="I19" i="7"/>
  <c r="D7" i="8"/>
  <c r="C7" i="8"/>
  <c r="C3" i="8"/>
  <c r="F56" i="7"/>
  <c r="K36" i="7" s="1"/>
  <c r="F55" i="7"/>
  <c r="F54" i="7"/>
  <c r="N20" i="7" s="1"/>
  <c r="K37" i="7"/>
  <c r="N19" i="7"/>
  <c r="F52" i="7"/>
  <c r="F51" i="7"/>
  <c r="F50" i="7"/>
  <c r="F49" i="7"/>
  <c r="F48" i="7"/>
  <c r="F47" i="7"/>
  <c r="F46" i="7"/>
  <c r="F45" i="7"/>
  <c r="F38" i="7"/>
  <c r="K33" i="7" s="1"/>
  <c r="F37" i="7"/>
  <c r="F36" i="7"/>
  <c r="K35" i="7"/>
  <c r="F35" i="7"/>
  <c r="F34" i="7"/>
  <c r="F33" i="7"/>
  <c r="F32" i="7"/>
  <c r="F31" i="7"/>
  <c r="F30" i="7"/>
  <c r="M12" i="7" s="1"/>
  <c r="F29" i="7"/>
  <c r="J28" i="7"/>
  <c r="F28" i="7"/>
  <c r="F27" i="7"/>
  <c r="M11" i="7" s="1"/>
  <c r="F26" i="7"/>
  <c r="K31" i="7" s="1"/>
  <c r="F25" i="7"/>
  <c r="J31" i="7" s="1"/>
  <c r="F24" i="7"/>
  <c r="F23" i="7"/>
  <c r="F22" i="7"/>
  <c r="F21" i="7"/>
  <c r="N9" i="7" s="1"/>
  <c r="L20" i="7"/>
  <c r="K20" i="7"/>
  <c r="J20" i="7"/>
  <c r="I20" i="7"/>
  <c r="F20" i="7"/>
  <c r="K30" i="7" s="1"/>
  <c r="L19" i="7"/>
  <c r="K19" i="7"/>
  <c r="J19" i="7"/>
  <c r="F19" i="7"/>
  <c r="L18" i="7"/>
  <c r="K18" i="7"/>
  <c r="J18" i="7"/>
  <c r="I18" i="7"/>
  <c r="F18" i="7"/>
  <c r="L17" i="7"/>
  <c r="K17" i="7"/>
  <c r="J17" i="7"/>
  <c r="I17" i="7"/>
  <c r="F17" i="7"/>
  <c r="F16" i="7"/>
  <c r="F15" i="7"/>
  <c r="I30" i="7" s="1"/>
  <c r="L14" i="7"/>
  <c r="K14" i="7"/>
  <c r="J14" i="7"/>
  <c r="I14" i="7"/>
  <c r="F14" i="7"/>
  <c r="M13" i="7"/>
  <c r="L13" i="7"/>
  <c r="K13" i="7"/>
  <c r="J13" i="7"/>
  <c r="I13" i="7"/>
  <c r="F13" i="7"/>
  <c r="L12" i="7"/>
  <c r="K12" i="7"/>
  <c r="J12" i="7"/>
  <c r="I12" i="7"/>
  <c r="F12" i="7"/>
  <c r="L11" i="7"/>
  <c r="K11" i="7"/>
  <c r="J11" i="7"/>
  <c r="I11" i="7"/>
  <c r="F11" i="7"/>
  <c r="K29" i="7" s="1"/>
  <c r="L10" i="7"/>
  <c r="K10" i="7"/>
  <c r="J10" i="7"/>
  <c r="I10" i="7"/>
  <c r="F10" i="7"/>
  <c r="J29" i="7" s="1"/>
  <c r="M9" i="7"/>
  <c r="L9" i="7"/>
  <c r="K9" i="7"/>
  <c r="J9" i="7"/>
  <c r="I9" i="7"/>
  <c r="F9" i="7"/>
  <c r="L8" i="7"/>
  <c r="K8" i="7"/>
  <c r="J8" i="7"/>
  <c r="I8" i="7"/>
  <c r="F8" i="7"/>
  <c r="L7" i="7"/>
  <c r="K7" i="7"/>
  <c r="J7" i="7"/>
  <c r="I7" i="7"/>
  <c r="F7" i="7"/>
  <c r="L6" i="7"/>
  <c r="K6" i="7"/>
  <c r="J6" i="7"/>
  <c r="I6" i="7"/>
  <c r="F6" i="7"/>
  <c r="L5" i="7"/>
  <c r="K5" i="7"/>
  <c r="J5" i="7"/>
  <c r="I5" i="7"/>
  <c r="F5" i="7"/>
  <c r="L4" i="7"/>
  <c r="K4" i="7"/>
  <c r="J4" i="7"/>
  <c r="I4" i="7"/>
  <c r="F4" i="7"/>
  <c r="L3" i="7"/>
  <c r="K3" i="7"/>
  <c r="J3" i="7"/>
  <c r="I3" i="7"/>
  <c r="F3" i="7"/>
  <c r="L37" i="7" l="1"/>
  <c r="K28" i="7"/>
  <c r="N11" i="7"/>
  <c r="M3" i="7"/>
  <c r="N3" i="7"/>
  <c r="N5" i="7"/>
  <c r="N12" i="7"/>
  <c r="N14" i="7"/>
  <c r="I29" i="7"/>
  <c r="M29" i="7" s="1"/>
  <c r="M14" i="7"/>
  <c r="I28" i="7"/>
  <c r="M28" i="7" s="1"/>
  <c r="N6" i="7"/>
  <c r="M7" i="7"/>
  <c r="J35" i="7"/>
  <c r="J32" i="7"/>
  <c r="I35" i="7"/>
  <c r="K32" i="7"/>
  <c r="N18" i="7"/>
  <c r="M19" i="7"/>
  <c r="I33" i="7"/>
  <c r="M33" i="7" s="1"/>
  <c r="J33" i="7"/>
  <c r="N10" i="7"/>
  <c r="M37" i="7"/>
  <c r="M17" i="7"/>
  <c r="N17" i="7"/>
  <c r="I36" i="7"/>
  <c r="N7" i="7"/>
  <c r="N13" i="7"/>
  <c r="I31" i="7"/>
  <c r="M4" i="7"/>
  <c r="N4" i="7"/>
  <c r="M6" i="7"/>
  <c r="M20" i="7"/>
  <c r="M8" i="7"/>
  <c r="M10" i="7"/>
  <c r="M18" i="7"/>
  <c r="I32" i="7"/>
  <c r="N8" i="7"/>
  <c r="M5" i="7"/>
  <c r="J30" i="7"/>
  <c r="L30" i="7" s="1"/>
  <c r="L29" i="7" l="1"/>
  <c r="L28" i="7"/>
  <c r="M35" i="7"/>
  <c r="L33" i="7"/>
  <c r="L35" i="7"/>
  <c r="M32" i="7"/>
  <c r="L32" i="7"/>
  <c r="M36" i="7"/>
  <c r="L36" i="7"/>
  <c r="M30" i="7"/>
  <c r="M31" i="7"/>
  <c r="L31" i="7"/>
  <c r="Q77" i="5" l="1"/>
  <c r="R77" i="5"/>
  <c r="S77" i="5" s="1"/>
  <c r="Q90" i="5"/>
  <c r="R90" i="5"/>
  <c r="S90" i="5" s="1"/>
  <c r="Q103" i="5"/>
  <c r="R103" i="5"/>
  <c r="S103" i="5" s="1"/>
  <c r="Q116" i="5"/>
  <c r="R116" i="5"/>
  <c r="S116" i="5" s="1"/>
  <c r="R129" i="5"/>
  <c r="S129" i="5" s="1"/>
  <c r="E142" i="5"/>
  <c r="F142" i="5"/>
  <c r="G142" i="5" s="1"/>
  <c r="F129" i="5"/>
  <c r="G129" i="5" s="1"/>
  <c r="E116" i="5"/>
  <c r="F116" i="5"/>
  <c r="G116" i="5" s="1"/>
  <c r="E103" i="5"/>
  <c r="F103" i="5"/>
  <c r="G103" i="5" s="1"/>
  <c r="E90" i="5"/>
  <c r="F90" i="5"/>
  <c r="G90" i="5" s="1"/>
  <c r="E77" i="5"/>
  <c r="F77" i="5"/>
  <c r="G77" i="5" s="1"/>
  <c r="Z116" i="5"/>
  <c r="AA116" i="5" s="1"/>
  <c r="Z103" i="5"/>
  <c r="AA103" i="5" s="1"/>
  <c r="Z90" i="5"/>
  <c r="AA90" i="5" s="1"/>
  <c r="Z77" i="5"/>
  <c r="AA77" i="5" s="1"/>
  <c r="Z64" i="5"/>
  <c r="AA64" i="5" s="1"/>
  <c r="O142" i="5"/>
  <c r="N142" i="5"/>
  <c r="R142" i="5" s="1"/>
  <c r="S142" i="5" s="1"/>
  <c r="C142" i="5"/>
  <c r="B142" i="5"/>
  <c r="Z142" i="5" s="1"/>
  <c r="AA142" i="5" s="1"/>
  <c r="O129" i="5"/>
  <c r="P129" i="5"/>
  <c r="N129" i="5"/>
  <c r="Z129" i="5" s="1"/>
  <c r="AA129" i="5" s="1"/>
  <c r="C129" i="5"/>
  <c r="D129" i="5"/>
  <c r="B129" i="5"/>
  <c r="E129" i="5" s="1"/>
  <c r="Q64" i="5"/>
  <c r="R64" i="5"/>
  <c r="S64" i="5" s="1"/>
  <c r="E64" i="5"/>
  <c r="F64" i="5"/>
  <c r="G64" i="5" s="1"/>
  <c r="Q51" i="5"/>
  <c r="R51" i="5"/>
  <c r="S51" i="5" s="1"/>
  <c r="Z51" i="5"/>
  <c r="AA51" i="5" s="1"/>
  <c r="E51" i="5"/>
  <c r="F51" i="5"/>
  <c r="I51" i="5" s="1"/>
  <c r="N38" i="5"/>
  <c r="Q38" i="5" s="1"/>
  <c r="B38" i="5"/>
  <c r="E38" i="5" s="1"/>
  <c r="R25" i="5"/>
  <c r="S25" i="5" s="1"/>
  <c r="O25" i="5"/>
  <c r="P25" i="5"/>
  <c r="N25" i="5"/>
  <c r="Q25" i="5" s="1"/>
  <c r="T25" i="5" s="1"/>
  <c r="C25" i="5"/>
  <c r="Z25" i="5" s="1"/>
  <c r="AA25" i="5" s="1"/>
  <c r="D25" i="5"/>
  <c r="Q12" i="5"/>
  <c r="R12" i="5"/>
  <c r="S12" i="5" s="1"/>
  <c r="O12" i="5"/>
  <c r="P12" i="5"/>
  <c r="N12" i="5"/>
  <c r="C12" i="5"/>
  <c r="D12" i="5"/>
  <c r="B12" i="5"/>
  <c r="F12" i="5" s="1"/>
  <c r="G12" i="5" s="1"/>
  <c r="B95" i="5"/>
  <c r="H129" i="5" l="1"/>
  <c r="I129" i="5"/>
  <c r="Q142" i="5"/>
  <c r="U142" i="5" s="1"/>
  <c r="H51" i="5"/>
  <c r="L51" i="5" s="1"/>
  <c r="Q129" i="5"/>
  <c r="T129" i="5" s="1"/>
  <c r="T116" i="5"/>
  <c r="I116" i="5"/>
  <c r="U103" i="5"/>
  <c r="T90" i="5"/>
  <c r="U77" i="5"/>
  <c r="T77" i="5"/>
  <c r="U51" i="5"/>
  <c r="F25" i="5"/>
  <c r="I25" i="5" s="1"/>
  <c r="I64" i="5"/>
  <c r="Z12" i="5"/>
  <c r="AA12" i="5" s="1"/>
  <c r="H90" i="5"/>
  <c r="E12" i="5"/>
  <c r="E25" i="5"/>
  <c r="H64" i="5"/>
  <c r="U12" i="5"/>
  <c r="I77" i="5"/>
  <c r="T12" i="5"/>
  <c r="H77" i="5"/>
  <c r="H142" i="5"/>
  <c r="U90" i="5"/>
  <c r="T103" i="5"/>
  <c r="U116" i="5"/>
  <c r="U129" i="5"/>
  <c r="T142" i="5"/>
  <c r="I142" i="5"/>
  <c r="H116" i="5"/>
  <c r="H103" i="5"/>
  <c r="I103" i="5"/>
  <c r="I90" i="5"/>
  <c r="U64" i="5"/>
  <c r="T64" i="5"/>
  <c r="T51" i="5"/>
  <c r="G51" i="5"/>
  <c r="U25" i="5"/>
  <c r="K51" i="5" l="1"/>
  <c r="H25" i="5"/>
  <c r="J51" i="5"/>
  <c r="G25" i="5"/>
  <c r="H12" i="5"/>
  <c r="I12" i="5"/>
  <c r="W51" i="5"/>
  <c r="V51" i="5"/>
  <c r="X51" i="5"/>
  <c r="N9" i="5" l="1"/>
  <c r="C9" i="5"/>
  <c r="N20" i="5"/>
  <c r="D10" i="5"/>
  <c r="W14" i="5"/>
  <c r="X14" i="5"/>
  <c r="W15" i="5"/>
  <c r="X15" i="5"/>
  <c r="W27" i="5"/>
  <c r="X27" i="5"/>
  <c r="W28" i="5"/>
  <c r="X28" i="5"/>
  <c r="W40" i="5"/>
  <c r="X40" i="5"/>
  <c r="W41" i="5"/>
  <c r="X41" i="5"/>
  <c r="W53" i="5"/>
  <c r="X53" i="5"/>
  <c r="W54" i="5"/>
  <c r="X54" i="5"/>
  <c r="W66" i="5"/>
  <c r="X66" i="5"/>
  <c r="W67" i="5"/>
  <c r="X67" i="5"/>
  <c r="W79" i="5"/>
  <c r="X79" i="5"/>
  <c r="W80" i="5"/>
  <c r="X80" i="5"/>
  <c r="W92" i="5"/>
  <c r="X92" i="5"/>
  <c r="W93" i="5"/>
  <c r="X93" i="5"/>
  <c r="W105" i="5"/>
  <c r="X105" i="5"/>
  <c r="W106" i="5"/>
  <c r="X106" i="5"/>
  <c r="W118" i="5"/>
  <c r="X118" i="5"/>
  <c r="W119" i="5"/>
  <c r="X119" i="5"/>
  <c r="W131" i="5"/>
  <c r="X131" i="5"/>
  <c r="W132" i="5"/>
  <c r="X132" i="5"/>
  <c r="W144" i="5"/>
  <c r="X144" i="5"/>
  <c r="W145" i="5"/>
  <c r="X145" i="5"/>
  <c r="J154" i="5"/>
  <c r="L154" i="5"/>
  <c r="Z115" i="5"/>
  <c r="AA115" i="5" s="1"/>
  <c r="Z89" i="5"/>
  <c r="AA89" i="5" s="1"/>
  <c r="Z88" i="5"/>
  <c r="AA88" i="5" s="1"/>
  <c r="Z82" i="5"/>
  <c r="AA82" i="5" s="1"/>
  <c r="Z63" i="5"/>
  <c r="AA63" i="5" s="1"/>
  <c r="Z50" i="5"/>
  <c r="AA50" i="5" s="1"/>
  <c r="Z46" i="5"/>
  <c r="AA46" i="5" s="1"/>
  <c r="Z52" i="5"/>
  <c r="AA52" i="5" s="1"/>
  <c r="Z56" i="5"/>
  <c r="AA56" i="5" s="1"/>
  <c r="Z57" i="5"/>
  <c r="AA57" i="5" s="1"/>
  <c r="Z58" i="5"/>
  <c r="AA58" i="5" s="1"/>
  <c r="Z59" i="5"/>
  <c r="AA59" i="5" s="1"/>
  <c r="Z60" i="5"/>
  <c r="AA60" i="5" s="1"/>
  <c r="Z61" i="5"/>
  <c r="AA61" i="5" s="1"/>
  <c r="Z62" i="5"/>
  <c r="AA62" i="5" s="1"/>
  <c r="Z65" i="5"/>
  <c r="AA65" i="5" s="1"/>
  <c r="Z69" i="5"/>
  <c r="AA69" i="5" s="1"/>
  <c r="Z70" i="5"/>
  <c r="AA70" i="5" s="1"/>
  <c r="Z71" i="5"/>
  <c r="AA71" i="5" s="1"/>
  <c r="Z72" i="5"/>
  <c r="AA72" i="5" s="1"/>
  <c r="Z73" i="5"/>
  <c r="AA73" i="5" s="1"/>
  <c r="Z74" i="5"/>
  <c r="AA74" i="5" s="1"/>
  <c r="Z75" i="5"/>
  <c r="AA75" i="5" s="1"/>
  <c r="Z76" i="5"/>
  <c r="AA76" i="5" s="1"/>
  <c r="Z78" i="5"/>
  <c r="AA78" i="5" s="1"/>
  <c r="Z83" i="5"/>
  <c r="AA83" i="5" s="1"/>
  <c r="Z84" i="5"/>
  <c r="AA84" i="5" s="1"/>
  <c r="Z85" i="5"/>
  <c r="AA85" i="5" s="1"/>
  <c r="Z86" i="5"/>
  <c r="AA86" i="5" s="1"/>
  <c r="Z87" i="5"/>
  <c r="AA87" i="5" s="1"/>
  <c r="Z91" i="5"/>
  <c r="AA91" i="5" s="1"/>
  <c r="Z108" i="5"/>
  <c r="AA108" i="5" s="1"/>
  <c r="Z109" i="5"/>
  <c r="AA109" i="5" s="1"/>
  <c r="Z110" i="5"/>
  <c r="AA110" i="5" s="1"/>
  <c r="Z111" i="5"/>
  <c r="AA111" i="5" s="1"/>
  <c r="Z112" i="5"/>
  <c r="AA112" i="5" s="1"/>
  <c r="Z113" i="5"/>
  <c r="AA113" i="5" s="1"/>
  <c r="Z114" i="5"/>
  <c r="AA114" i="5" s="1"/>
  <c r="Z117" i="5"/>
  <c r="AA117" i="5" s="1"/>
  <c r="Q109" i="5"/>
  <c r="R109" i="5"/>
  <c r="S109" i="5" s="1"/>
  <c r="Q110" i="5"/>
  <c r="R110" i="5"/>
  <c r="S110" i="5" s="1"/>
  <c r="Q111" i="5"/>
  <c r="R111" i="5"/>
  <c r="S111" i="5" s="1"/>
  <c r="Q112" i="5"/>
  <c r="R112" i="5"/>
  <c r="S112" i="5" s="1"/>
  <c r="Q113" i="5"/>
  <c r="R113" i="5"/>
  <c r="S113" i="5" s="1"/>
  <c r="Q114" i="5"/>
  <c r="R114" i="5"/>
  <c r="S114" i="5" s="1"/>
  <c r="Q115" i="5"/>
  <c r="R115" i="5"/>
  <c r="S115" i="5" s="1"/>
  <c r="Q117" i="5"/>
  <c r="R117" i="5"/>
  <c r="S117" i="5" s="1"/>
  <c r="E109" i="5"/>
  <c r="F109" i="5"/>
  <c r="G109" i="5" s="1"/>
  <c r="E110" i="5"/>
  <c r="F110" i="5"/>
  <c r="G110" i="5" s="1"/>
  <c r="E111" i="5"/>
  <c r="F111" i="5"/>
  <c r="G111" i="5" s="1"/>
  <c r="E112" i="5"/>
  <c r="F112" i="5"/>
  <c r="G112" i="5" s="1"/>
  <c r="E113" i="5"/>
  <c r="F113" i="5"/>
  <c r="G113" i="5" s="1"/>
  <c r="E114" i="5"/>
  <c r="F114" i="5"/>
  <c r="G114" i="5" s="1"/>
  <c r="E115" i="5"/>
  <c r="F115" i="5"/>
  <c r="G115" i="5" s="1"/>
  <c r="E117" i="5"/>
  <c r="F117" i="5"/>
  <c r="G117" i="5" s="1"/>
  <c r="F108" i="5"/>
  <c r="G108" i="5" s="1"/>
  <c r="E108" i="5"/>
  <c r="I115" i="5" l="1"/>
  <c r="T111" i="5"/>
  <c r="U109" i="5"/>
  <c r="T115" i="5"/>
  <c r="U114" i="5"/>
  <c r="U111" i="5"/>
  <c r="U110" i="5"/>
  <c r="T110" i="5"/>
  <c r="H117" i="5"/>
  <c r="T117" i="5"/>
  <c r="I114" i="5"/>
  <c r="T113" i="5"/>
  <c r="T112" i="5"/>
  <c r="U112" i="5"/>
  <c r="V112" i="5"/>
  <c r="T109" i="5"/>
  <c r="U117" i="5"/>
  <c r="U115" i="5"/>
  <c r="T114" i="5"/>
  <c r="U113" i="5"/>
  <c r="H109" i="5"/>
  <c r="H113" i="5"/>
  <c r="H115" i="5"/>
  <c r="H112" i="5"/>
  <c r="I117" i="5"/>
  <c r="H111" i="5"/>
  <c r="H110" i="5"/>
  <c r="H114" i="5"/>
  <c r="I108" i="5"/>
  <c r="H108" i="5"/>
  <c r="J108" i="5" s="1"/>
  <c r="I113" i="5"/>
  <c r="I112" i="5"/>
  <c r="I111" i="5"/>
  <c r="I110" i="5"/>
  <c r="I109" i="5"/>
  <c r="L113" i="5" l="1"/>
  <c r="X110" i="5"/>
  <c r="X111" i="5"/>
  <c r="K109" i="5"/>
  <c r="X112" i="5"/>
  <c r="W113" i="5"/>
  <c r="L109" i="5"/>
  <c r="V115" i="5"/>
  <c r="W111" i="5"/>
  <c r="K115" i="5"/>
  <c r="W112" i="5"/>
  <c r="L115" i="5"/>
  <c r="V111" i="5"/>
  <c r="K114" i="5"/>
  <c r="W110" i="5"/>
  <c r="V117" i="5"/>
  <c r="V110" i="5"/>
  <c r="K111" i="5"/>
  <c r="L117" i="5"/>
  <c r="J115" i="5"/>
  <c r="X113" i="5"/>
  <c r="X115" i="5"/>
  <c r="W115" i="5"/>
  <c r="V113" i="5"/>
  <c r="V114" i="5"/>
  <c r="W114" i="5"/>
  <c r="X114" i="5"/>
  <c r="J109" i="5"/>
  <c r="X117" i="5"/>
  <c r="W117" i="5"/>
  <c r="V109" i="5"/>
  <c r="W109" i="5"/>
  <c r="X109" i="5"/>
  <c r="L114" i="5"/>
  <c r="L108" i="5"/>
  <c r="J111" i="5"/>
  <c r="L110" i="5"/>
  <c r="J110" i="5"/>
  <c r="K110" i="5"/>
  <c r="L111" i="5"/>
  <c r="K117" i="5"/>
  <c r="J114" i="5"/>
  <c r="K108" i="5"/>
  <c r="J117" i="5"/>
  <c r="L112" i="5"/>
  <c r="J113" i="5"/>
  <c r="K113" i="5"/>
  <c r="J112" i="5"/>
  <c r="K112" i="5"/>
  <c r="Q83" i="5" l="1"/>
  <c r="R83" i="5"/>
  <c r="S83" i="5" s="1"/>
  <c r="Q84" i="5"/>
  <c r="R84" i="5"/>
  <c r="S84" i="5" s="1"/>
  <c r="Q85" i="5"/>
  <c r="R85" i="5"/>
  <c r="S85" i="5" s="1"/>
  <c r="Q86" i="5"/>
  <c r="R86" i="5"/>
  <c r="S86" i="5" s="1"/>
  <c r="Q87" i="5"/>
  <c r="R87" i="5"/>
  <c r="S87" i="5" s="1"/>
  <c r="Q88" i="5"/>
  <c r="R88" i="5"/>
  <c r="S88" i="5" s="1"/>
  <c r="Q89" i="5"/>
  <c r="R89" i="5"/>
  <c r="S89" i="5" s="1"/>
  <c r="Q91" i="5"/>
  <c r="R91" i="5"/>
  <c r="S91" i="5" s="1"/>
  <c r="E83" i="5"/>
  <c r="F83" i="5"/>
  <c r="G83" i="5" s="1"/>
  <c r="E84" i="5"/>
  <c r="F84" i="5"/>
  <c r="G84" i="5" s="1"/>
  <c r="E85" i="5"/>
  <c r="F85" i="5"/>
  <c r="G85" i="5" s="1"/>
  <c r="E86" i="5"/>
  <c r="F86" i="5"/>
  <c r="G86" i="5" s="1"/>
  <c r="E87" i="5"/>
  <c r="F87" i="5"/>
  <c r="G87" i="5" s="1"/>
  <c r="E88" i="5"/>
  <c r="F88" i="5"/>
  <c r="G88" i="5" s="1"/>
  <c r="E89" i="5"/>
  <c r="F89" i="5"/>
  <c r="G89" i="5" s="1"/>
  <c r="E91" i="5"/>
  <c r="F91" i="5"/>
  <c r="G91" i="5" s="1"/>
  <c r="Q70" i="5"/>
  <c r="R70" i="5"/>
  <c r="S70" i="5" s="1"/>
  <c r="Q71" i="5"/>
  <c r="R71" i="5"/>
  <c r="S71" i="5" s="1"/>
  <c r="Q72" i="5"/>
  <c r="R72" i="5"/>
  <c r="S72" i="5" s="1"/>
  <c r="Q73" i="5"/>
  <c r="R73" i="5"/>
  <c r="S73" i="5" s="1"/>
  <c r="Q74" i="5"/>
  <c r="R74" i="5"/>
  <c r="S74" i="5" s="1"/>
  <c r="Q75" i="5"/>
  <c r="R75" i="5"/>
  <c r="S75" i="5" s="1"/>
  <c r="Q76" i="5"/>
  <c r="R76" i="5"/>
  <c r="S76" i="5" s="1"/>
  <c r="Q78" i="5"/>
  <c r="R78" i="5"/>
  <c r="S78" i="5" s="1"/>
  <c r="R69" i="5"/>
  <c r="S69" i="5" s="1"/>
  <c r="Q69" i="5"/>
  <c r="E70" i="5"/>
  <c r="F70" i="5"/>
  <c r="G70" i="5" s="1"/>
  <c r="E71" i="5"/>
  <c r="F71" i="5"/>
  <c r="G71" i="5" s="1"/>
  <c r="E72" i="5"/>
  <c r="F72" i="5"/>
  <c r="G72" i="5" s="1"/>
  <c r="E73" i="5"/>
  <c r="F73" i="5"/>
  <c r="G73" i="5" s="1"/>
  <c r="E74" i="5"/>
  <c r="F74" i="5"/>
  <c r="G74" i="5" s="1"/>
  <c r="E75" i="5"/>
  <c r="F75" i="5"/>
  <c r="G75" i="5" s="1"/>
  <c r="E76" i="5"/>
  <c r="F76" i="5"/>
  <c r="G76" i="5" s="1"/>
  <c r="E78" i="5"/>
  <c r="F78" i="5"/>
  <c r="G78" i="5" s="1"/>
  <c r="Q57" i="5"/>
  <c r="R57" i="5"/>
  <c r="S57" i="5" s="1"/>
  <c r="Q58" i="5"/>
  <c r="R58" i="5"/>
  <c r="S58" i="5" s="1"/>
  <c r="Q59" i="5"/>
  <c r="R59" i="5"/>
  <c r="S59" i="5" s="1"/>
  <c r="Q60" i="5"/>
  <c r="R60" i="5"/>
  <c r="S60" i="5" s="1"/>
  <c r="Q61" i="5"/>
  <c r="R61" i="5"/>
  <c r="S61" i="5" s="1"/>
  <c r="Q62" i="5"/>
  <c r="R62" i="5"/>
  <c r="S62" i="5" s="1"/>
  <c r="Q63" i="5"/>
  <c r="R63" i="5"/>
  <c r="S63" i="5" s="1"/>
  <c r="Q65" i="5"/>
  <c r="R65" i="5"/>
  <c r="S65" i="5" s="1"/>
  <c r="E57" i="5"/>
  <c r="F57" i="5"/>
  <c r="G57" i="5" s="1"/>
  <c r="E58" i="5"/>
  <c r="F58" i="5"/>
  <c r="G58" i="5" s="1"/>
  <c r="E59" i="5"/>
  <c r="F59" i="5"/>
  <c r="G59" i="5" s="1"/>
  <c r="E60" i="5"/>
  <c r="F60" i="5"/>
  <c r="G60" i="5" s="1"/>
  <c r="E61" i="5"/>
  <c r="F61" i="5"/>
  <c r="G61" i="5" s="1"/>
  <c r="E62" i="5"/>
  <c r="F62" i="5"/>
  <c r="G62" i="5" s="1"/>
  <c r="E63" i="5"/>
  <c r="F63" i="5"/>
  <c r="G63" i="5" s="1"/>
  <c r="E65" i="5"/>
  <c r="F65" i="5"/>
  <c r="G65" i="5" s="1"/>
  <c r="Q44" i="5"/>
  <c r="R44" i="5"/>
  <c r="S44" i="5" s="1"/>
  <c r="Q45" i="5"/>
  <c r="R45" i="5"/>
  <c r="S45" i="5" s="1"/>
  <c r="Q46" i="5"/>
  <c r="R46" i="5"/>
  <c r="S46" i="5" s="1"/>
  <c r="Q47" i="5"/>
  <c r="R47" i="5"/>
  <c r="S47" i="5" s="1"/>
  <c r="Q48" i="5"/>
  <c r="R48" i="5"/>
  <c r="S48" i="5" s="1"/>
  <c r="Q49" i="5"/>
  <c r="R49" i="5"/>
  <c r="S49" i="5" s="1"/>
  <c r="Q50" i="5"/>
  <c r="R50" i="5"/>
  <c r="S50" i="5" s="1"/>
  <c r="Q52" i="5"/>
  <c r="R52" i="5"/>
  <c r="S52" i="5" s="1"/>
  <c r="E46" i="5"/>
  <c r="F46" i="5"/>
  <c r="G46" i="5" s="1"/>
  <c r="E50" i="5"/>
  <c r="F50" i="5"/>
  <c r="G50" i="5" s="1"/>
  <c r="E52" i="5"/>
  <c r="F52" i="5"/>
  <c r="G52" i="5" s="1"/>
  <c r="R108" i="5"/>
  <c r="S108" i="5" s="1"/>
  <c r="Q108" i="5"/>
  <c r="R82" i="5"/>
  <c r="S82" i="5" s="1"/>
  <c r="Q82" i="5"/>
  <c r="F82" i="5"/>
  <c r="G82" i="5" s="1"/>
  <c r="E82" i="5"/>
  <c r="F69" i="5"/>
  <c r="G69" i="5" s="1"/>
  <c r="E69" i="5"/>
  <c r="R56" i="5"/>
  <c r="S56" i="5" s="1"/>
  <c r="Q56" i="5"/>
  <c r="F56" i="5"/>
  <c r="G56" i="5" s="1"/>
  <c r="E56" i="5"/>
  <c r="R43" i="5"/>
  <c r="S43" i="5" s="1"/>
  <c r="Q43" i="5"/>
  <c r="N143" i="5"/>
  <c r="P134" i="5"/>
  <c r="B134" i="5"/>
  <c r="N128" i="5"/>
  <c r="N123" i="5"/>
  <c r="O123" i="5"/>
  <c r="P123" i="5"/>
  <c r="N139" i="5"/>
  <c r="O139" i="5"/>
  <c r="P139" i="5"/>
  <c r="N140" i="5"/>
  <c r="O140" i="5"/>
  <c r="P140" i="5"/>
  <c r="T82" i="5" l="1"/>
  <c r="U82" i="5"/>
  <c r="T88" i="5"/>
  <c r="U88" i="5"/>
  <c r="T47" i="5"/>
  <c r="U47" i="5"/>
  <c r="T60" i="5"/>
  <c r="U60" i="5"/>
  <c r="U74" i="5"/>
  <c r="T74" i="5"/>
  <c r="U87" i="5"/>
  <c r="T87" i="5"/>
  <c r="T49" i="5"/>
  <c r="U49" i="5"/>
  <c r="T48" i="5"/>
  <c r="U48" i="5"/>
  <c r="T46" i="5"/>
  <c r="U46" i="5"/>
  <c r="T59" i="5"/>
  <c r="U59" i="5"/>
  <c r="T73" i="5"/>
  <c r="U73" i="5"/>
  <c r="U86" i="5"/>
  <c r="T86" i="5"/>
  <c r="U62" i="5"/>
  <c r="T62" i="5"/>
  <c r="T89" i="5"/>
  <c r="U89" i="5"/>
  <c r="T61" i="5"/>
  <c r="U61" i="5"/>
  <c r="T108" i="5"/>
  <c r="U108" i="5"/>
  <c r="U43" i="5"/>
  <c r="T43" i="5"/>
  <c r="T45" i="5"/>
  <c r="U45" i="5"/>
  <c r="T58" i="5"/>
  <c r="U58" i="5"/>
  <c r="T72" i="5"/>
  <c r="U72" i="5"/>
  <c r="T85" i="5"/>
  <c r="U85" i="5"/>
  <c r="T76" i="5"/>
  <c r="U76" i="5"/>
  <c r="T44" i="5"/>
  <c r="U44" i="5"/>
  <c r="T57" i="5"/>
  <c r="U57" i="5"/>
  <c r="T71" i="5"/>
  <c r="U71" i="5"/>
  <c r="T84" i="5"/>
  <c r="U84" i="5"/>
  <c r="T56" i="5"/>
  <c r="U56" i="5"/>
  <c r="T52" i="5"/>
  <c r="U52" i="5"/>
  <c r="U50" i="5"/>
  <c r="T50" i="5"/>
  <c r="U63" i="5"/>
  <c r="T63" i="5"/>
  <c r="T78" i="5"/>
  <c r="U78" i="5"/>
  <c r="T91" i="5"/>
  <c r="U91" i="5"/>
  <c r="T75" i="5"/>
  <c r="U75" i="5"/>
  <c r="T69" i="5"/>
  <c r="U69" i="5"/>
  <c r="T65" i="5"/>
  <c r="U65" i="5"/>
  <c r="T70" i="5"/>
  <c r="U70" i="5"/>
  <c r="T83" i="5"/>
  <c r="U83" i="5"/>
  <c r="H75" i="5"/>
  <c r="I75" i="5"/>
  <c r="H89" i="5"/>
  <c r="I89" i="5"/>
  <c r="H74" i="5"/>
  <c r="I74" i="5"/>
  <c r="I59" i="5"/>
  <c r="H59" i="5"/>
  <c r="H50" i="5"/>
  <c r="I50" i="5"/>
  <c r="H58" i="5"/>
  <c r="I58" i="5"/>
  <c r="H61" i="5"/>
  <c r="I61" i="5"/>
  <c r="H71" i="5"/>
  <c r="I71" i="5"/>
  <c r="H85" i="5"/>
  <c r="I85" i="5"/>
  <c r="H88" i="5"/>
  <c r="I88" i="5"/>
  <c r="H60" i="5"/>
  <c r="I60" i="5"/>
  <c r="I46" i="5"/>
  <c r="H46" i="5"/>
  <c r="H57" i="5"/>
  <c r="I57" i="5"/>
  <c r="H86" i="5"/>
  <c r="I86" i="5"/>
  <c r="H70" i="5"/>
  <c r="I70" i="5"/>
  <c r="H84" i="5"/>
  <c r="I84" i="5"/>
  <c r="H73" i="5"/>
  <c r="I73" i="5"/>
  <c r="H52" i="5"/>
  <c r="I52" i="5"/>
  <c r="H65" i="5"/>
  <c r="I65" i="5"/>
  <c r="H78" i="5"/>
  <c r="I78" i="5"/>
  <c r="H69" i="5"/>
  <c r="I69" i="5"/>
  <c r="H83" i="5"/>
  <c r="I83" i="5"/>
  <c r="H87" i="5"/>
  <c r="I87" i="5"/>
  <c r="H63" i="5"/>
  <c r="I63" i="5"/>
  <c r="H76" i="5"/>
  <c r="I76" i="5"/>
  <c r="I82" i="5"/>
  <c r="H82" i="5"/>
  <c r="H91" i="5"/>
  <c r="I91" i="5"/>
  <c r="H72" i="5"/>
  <c r="I72" i="5"/>
  <c r="H56" i="5"/>
  <c r="I56" i="5"/>
  <c r="H62" i="5"/>
  <c r="I62" i="5"/>
  <c r="Q139" i="5"/>
  <c r="R139" i="5"/>
  <c r="S139" i="5" s="1"/>
  <c r="Q123" i="5"/>
  <c r="R123" i="5"/>
  <c r="S123" i="5" s="1"/>
  <c r="R140" i="5"/>
  <c r="S140" i="5" s="1"/>
  <c r="Q140" i="5"/>
  <c r="C150" i="5"/>
  <c r="D150" i="5"/>
  <c r="C151" i="5"/>
  <c r="D151" i="5"/>
  <c r="N151" i="5"/>
  <c r="O151" i="5"/>
  <c r="P151" i="5"/>
  <c r="C152" i="5"/>
  <c r="D152" i="5"/>
  <c r="C153" i="5"/>
  <c r="D153" i="5"/>
  <c r="N153" i="5"/>
  <c r="O153" i="5"/>
  <c r="P153" i="5"/>
  <c r="C154" i="5"/>
  <c r="O154" i="5"/>
  <c r="C156" i="5"/>
  <c r="D156" i="5"/>
  <c r="N156" i="5"/>
  <c r="O156" i="5"/>
  <c r="P156" i="5"/>
  <c r="B156" i="5"/>
  <c r="B153" i="5"/>
  <c r="B152" i="5"/>
  <c r="B151" i="5"/>
  <c r="B150" i="5"/>
  <c r="C149" i="5"/>
  <c r="D149" i="5"/>
  <c r="B149" i="5"/>
  <c r="C148" i="5"/>
  <c r="D148" i="5"/>
  <c r="N148" i="5"/>
  <c r="O148" i="5"/>
  <c r="P148" i="5"/>
  <c r="B148" i="5"/>
  <c r="C147" i="5"/>
  <c r="D147" i="5"/>
  <c r="N147" i="5"/>
  <c r="O147" i="5"/>
  <c r="P147" i="5"/>
  <c r="B147" i="5"/>
  <c r="C134" i="5"/>
  <c r="D134" i="5"/>
  <c r="N134" i="5"/>
  <c r="O134" i="5"/>
  <c r="C135" i="5"/>
  <c r="D135" i="5"/>
  <c r="C136" i="5"/>
  <c r="D136" i="5"/>
  <c r="O136" i="5"/>
  <c r="P136" i="5"/>
  <c r="C137" i="5"/>
  <c r="D137" i="5"/>
  <c r="N137" i="5"/>
  <c r="O137" i="5"/>
  <c r="P137" i="5"/>
  <c r="C138" i="5"/>
  <c r="D138" i="5"/>
  <c r="C139" i="5"/>
  <c r="D139" i="5"/>
  <c r="C140" i="5"/>
  <c r="D140" i="5"/>
  <c r="C141" i="5"/>
  <c r="D141" i="5"/>
  <c r="N141" i="5"/>
  <c r="O141" i="5"/>
  <c r="P141" i="5"/>
  <c r="C143" i="5"/>
  <c r="D143" i="5"/>
  <c r="O143" i="5"/>
  <c r="P143" i="5"/>
  <c r="N121" i="5"/>
  <c r="O121" i="5"/>
  <c r="P121" i="5"/>
  <c r="N122" i="5"/>
  <c r="O122" i="5"/>
  <c r="P122" i="5"/>
  <c r="B135" i="5"/>
  <c r="B136" i="5"/>
  <c r="N124" i="5"/>
  <c r="O124" i="5"/>
  <c r="P124" i="5"/>
  <c r="B137" i="5"/>
  <c r="N125" i="5"/>
  <c r="O125" i="5"/>
  <c r="P125" i="5"/>
  <c r="B138" i="5"/>
  <c r="N126" i="5"/>
  <c r="O126" i="5"/>
  <c r="P126" i="5"/>
  <c r="B139" i="5"/>
  <c r="N127" i="5"/>
  <c r="O127" i="5"/>
  <c r="P127" i="5"/>
  <c r="B140" i="5"/>
  <c r="P128" i="5"/>
  <c r="B141" i="5"/>
  <c r="N130" i="5"/>
  <c r="O130" i="5"/>
  <c r="P130" i="5"/>
  <c r="B143" i="5"/>
  <c r="C122" i="5"/>
  <c r="D122" i="5"/>
  <c r="C123" i="5"/>
  <c r="D123" i="5"/>
  <c r="C124" i="5"/>
  <c r="D124" i="5"/>
  <c r="C125" i="5"/>
  <c r="D125" i="5"/>
  <c r="C126" i="5"/>
  <c r="D126" i="5"/>
  <c r="C127" i="5"/>
  <c r="D127" i="5"/>
  <c r="D128" i="5"/>
  <c r="C130" i="5"/>
  <c r="D130" i="5"/>
  <c r="B130" i="5"/>
  <c r="B128" i="5"/>
  <c r="B127" i="5"/>
  <c r="B126" i="5"/>
  <c r="B125" i="5"/>
  <c r="B124" i="5"/>
  <c r="B123" i="5"/>
  <c r="B122" i="5"/>
  <c r="C121" i="5"/>
  <c r="D121" i="5"/>
  <c r="B121" i="5"/>
  <c r="C95" i="5"/>
  <c r="D95" i="5"/>
  <c r="N95" i="5"/>
  <c r="O95" i="5"/>
  <c r="P95" i="5"/>
  <c r="C96" i="5"/>
  <c r="D96" i="5"/>
  <c r="N96" i="5"/>
  <c r="O96" i="5"/>
  <c r="P96" i="5"/>
  <c r="C97" i="5"/>
  <c r="D97" i="5"/>
  <c r="N97" i="5"/>
  <c r="O97" i="5"/>
  <c r="P97" i="5"/>
  <c r="C98" i="5"/>
  <c r="D98" i="5"/>
  <c r="N98" i="5"/>
  <c r="O98" i="5"/>
  <c r="P98" i="5"/>
  <c r="C99" i="5"/>
  <c r="D99" i="5"/>
  <c r="N99" i="5"/>
  <c r="O99" i="5"/>
  <c r="P99" i="5"/>
  <c r="C100" i="5"/>
  <c r="D100" i="5"/>
  <c r="N100" i="5"/>
  <c r="O100" i="5"/>
  <c r="P100" i="5"/>
  <c r="C101" i="5"/>
  <c r="D101" i="5"/>
  <c r="N101" i="5"/>
  <c r="O101" i="5"/>
  <c r="P101" i="5"/>
  <c r="C102" i="5"/>
  <c r="D102" i="5"/>
  <c r="N102" i="5"/>
  <c r="O102" i="5"/>
  <c r="P102" i="5"/>
  <c r="C104" i="5"/>
  <c r="D104" i="5"/>
  <c r="N104" i="5"/>
  <c r="O104" i="5"/>
  <c r="P104" i="5"/>
  <c r="B104" i="5"/>
  <c r="B102" i="5"/>
  <c r="B101" i="5"/>
  <c r="B100" i="5"/>
  <c r="B99" i="5"/>
  <c r="B98" i="5"/>
  <c r="B97" i="5"/>
  <c r="B96" i="5"/>
  <c r="B49" i="5"/>
  <c r="C48" i="5"/>
  <c r="B48" i="5"/>
  <c r="D47" i="5"/>
  <c r="B45" i="5"/>
  <c r="Z45" i="5" s="1"/>
  <c r="AA45" i="5" s="1"/>
  <c r="B44" i="5"/>
  <c r="D43" i="5"/>
  <c r="Z43" i="5" s="1"/>
  <c r="AA43" i="5" s="1"/>
  <c r="B19" i="5"/>
  <c r="C19" i="5"/>
  <c r="D19" i="5"/>
  <c r="N19" i="5"/>
  <c r="O19" i="5"/>
  <c r="P19" i="5"/>
  <c r="B32" i="5"/>
  <c r="C32" i="5"/>
  <c r="D32" i="5"/>
  <c r="N32" i="5"/>
  <c r="O32" i="5"/>
  <c r="P32" i="5"/>
  <c r="B20" i="5"/>
  <c r="C20" i="5"/>
  <c r="D20" i="5"/>
  <c r="O20" i="5"/>
  <c r="P20" i="5"/>
  <c r="B33" i="5"/>
  <c r="C33" i="5"/>
  <c r="D33" i="5"/>
  <c r="N33" i="5"/>
  <c r="O33" i="5"/>
  <c r="P33" i="5"/>
  <c r="B21" i="5"/>
  <c r="C21" i="5"/>
  <c r="D21" i="5"/>
  <c r="N21" i="5"/>
  <c r="O21" i="5"/>
  <c r="P21" i="5"/>
  <c r="B34" i="5"/>
  <c r="C34" i="5"/>
  <c r="D34" i="5"/>
  <c r="N34" i="5"/>
  <c r="O34" i="5"/>
  <c r="P34" i="5"/>
  <c r="B22" i="5"/>
  <c r="C22" i="5"/>
  <c r="D22" i="5"/>
  <c r="N22" i="5"/>
  <c r="O22" i="5"/>
  <c r="P22" i="5"/>
  <c r="B35" i="5"/>
  <c r="C35" i="5"/>
  <c r="D35" i="5"/>
  <c r="N35" i="5"/>
  <c r="O35" i="5"/>
  <c r="P35" i="5"/>
  <c r="B23" i="5"/>
  <c r="C23" i="5"/>
  <c r="D23" i="5"/>
  <c r="N23" i="5"/>
  <c r="O23" i="5"/>
  <c r="P23" i="5"/>
  <c r="B36" i="5"/>
  <c r="C36" i="5"/>
  <c r="D36" i="5"/>
  <c r="N36" i="5"/>
  <c r="O36" i="5"/>
  <c r="P36" i="5"/>
  <c r="B24" i="5"/>
  <c r="C24" i="5"/>
  <c r="D24" i="5"/>
  <c r="N24" i="5"/>
  <c r="O24" i="5"/>
  <c r="P24" i="5"/>
  <c r="B37" i="5"/>
  <c r="D37" i="5"/>
  <c r="N37" i="5"/>
  <c r="P37" i="5"/>
  <c r="B26" i="5"/>
  <c r="C26" i="5"/>
  <c r="D26" i="5"/>
  <c r="N26" i="5"/>
  <c r="O26" i="5"/>
  <c r="P26" i="5"/>
  <c r="B39" i="5"/>
  <c r="C39" i="5"/>
  <c r="D39" i="5"/>
  <c r="N39" i="5"/>
  <c r="O39" i="5"/>
  <c r="P39" i="5"/>
  <c r="B31" i="5"/>
  <c r="C31" i="5"/>
  <c r="D31" i="5"/>
  <c r="N31" i="5"/>
  <c r="O31" i="5"/>
  <c r="P31" i="5"/>
  <c r="B30" i="5"/>
  <c r="C30" i="5"/>
  <c r="D30" i="5"/>
  <c r="N30" i="5"/>
  <c r="O30" i="5"/>
  <c r="P30" i="5"/>
  <c r="B18" i="5"/>
  <c r="C18" i="5"/>
  <c r="D18" i="5"/>
  <c r="N18" i="5"/>
  <c r="O18" i="5"/>
  <c r="P18" i="5"/>
  <c r="B17" i="5"/>
  <c r="C17" i="5"/>
  <c r="D17" i="5"/>
  <c r="N17" i="5"/>
  <c r="O17" i="5"/>
  <c r="P17" i="5"/>
  <c r="C13" i="5"/>
  <c r="D13" i="5"/>
  <c r="N13" i="5"/>
  <c r="O13" i="5"/>
  <c r="P13" i="5"/>
  <c r="C11" i="5"/>
  <c r="D11" i="5"/>
  <c r="N11" i="5"/>
  <c r="O11" i="5"/>
  <c r="P11" i="5"/>
  <c r="C10" i="5"/>
  <c r="N10" i="5"/>
  <c r="O10" i="5"/>
  <c r="P10" i="5"/>
  <c r="D9" i="5"/>
  <c r="O9" i="5"/>
  <c r="P9" i="5"/>
  <c r="B13" i="5"/>
  <c r="B11" i="5"/>
  <c r="B10" i="5"/>
  <c r="B9" i="5"/>
  <c r="C8" i="5"/>
  <c r="D8" i="5"/>
  <c r="N8" i="5"/>
  <c r="O8" i="5"/>
  <c r="P8" i="5"/>
  <c r="B8" i="5"/>
  <c r="C7" i="5"/>
  <c r="D7" i="5"/>
  <c r="N7" i="5"/>
  <c r="O7" i="5"/>
  <c r="P7" i="5"/>
  <c r="B7" i="5"/>
  <c r="C6" i="5"/>
  <c r="D6" i="5"/>
  <c r="N6" i="5"/>
  <c r="O6" i="5"/>
  <c r="P6" i="5"/>
  <c r="B6" i="5"/>
  <c r="C5" i="5"/>
  <c r="D5" i="5"/>
  <c r="N5" i="5"/>
  <c r="O5" i="5"/>
  <c r="P5" i="5"/>
  <c r="B5" i="5"/>
  <c r="C4" i="5"/>
  <c r="D4" i="5"/>
  <c r="N4" i="5"/>
  <c r="O4" i="5"/>
  <c r="P4" i="5"/>
  <c r="B4" i="5"/>
  <c r="L62" i="5" l="1"/>
  <c r="K83" i="5"/>
  <c r="V49" i="5"/>
  <c r="W49" i="5"/>
  <c r="X49" i="5"/>
  <c r="V69" i="5"/>
  <c r="W69" i="5"/>
  <c r="X69" i="5"/>
  <c r="V52" i="5"/>
  <c r="W52" i="5"/>
  <c r="X52" i="5"/>
  <c r="X85" i="5"/>
  <c r="V85" i="5"/>
  <c r="W85" i="5"/>
  <c r="X76" i="5"/>
  <c r="V76" i="5"/>
  <c r="W76" i="5"/>
  <c r="V62" i="5"/>
  <c r="W62" i="5"/>
  <c r="X62" i="5"/>
  <c r="V86" i="5"/>
  <c r="W86" i="5"/>
  <c r="X86" i="5"/>
  <c r="V87" i="5"/>
  <c r="W87" i="5"/>
  <c r="X87" i="5"/>
  <c r="J74" i="5"/>
  <c r="W72" i="5"/>
  <c r="X72" i="5"/>
  <c r="V72" i="5"/>
  <c r="W65" i="5"/>
  <c r="X65" i="5"/>
  <c r="V65" i="5"/>
  <c r="V56" i="5"/>
  <c r="X56" i="5"/>
  <c r="V74" i="5"/>
  <c r="W74" i="5"/>
  <c r="X74" i="5"/>
  <c r="V89" i="5"/>
  <c r="W89" i="5"/>
  <c r="X89" i="5"/>
  <c r="K88" i="5"/>
  <c r="V75" i="5"/>
  <c r="W75" i="5"/>
  <c r="X75" i="5"/>
  <c r="V58" i="5"/>
  <c r="W58" i="5"/>
  <c r="X58" i="5"/>
  <c r="V73" i="5"/>
  <c r="X73" i="5"/>
  <c r="W73" i="5"/>
  <c r="X84" i="5"/>
  <c r="V84" i="5"/>
  <c r="W84" i="5"/>
  <c r="Q128" i="5"/>
  <c r="T140" i="5"/>
  <c r="U140" i="5"/>
  <c r="L73" i="5"/>
  <c r="V91" i="5"/>
  <c r="W91" i="5"/>
  <c r="X45" i="5"/>
  <c r="V45" i="5"/>
  <c r="W45" i="5"/>
  <c r="V59" i="5"/>
  <c r="W59" i="5"/>
  <c r="X59" i="5"/>
  <c r="V60" i="5"/>
  <c r="W60" i="5"/>
  <c r="X60" i="5"/>
  <c r="W71" i="5"/>
  <c r="X71" i="5"/>
  <c r="V71" i="5"/>
  <c r="V43" i="5"/>
  <c r="W43" i="5"/>
  <c r="X43" i="5"/>
  <c r="X78" i="5"/>
  <c r="W78" i="5"/>
  <c r="V78" i="5"/>
  <c r="V46" i="5"/>
  <c r="W46" i="5"/>
  <c r="X46" i="5"/>
  <c r="V47" i="5"/>
  <c r="W47" i="5"/>
  <c r="X47" i="5"/>
  <c r="T123" i="5"/>
  <c r="U123" i="5"/>
  <c r="W63" i="5"/>
  <c r="X63" i="5"/>
  <c r="V63" i="5"/>
  <c r="V57" i="5"/>
  <c r="W57" i="5"/>
  <c r="X57" i="5"/>
  <c r="V83" i="5"/>
  <c r="W83" i="5"/>
  <c r="X83" i="5"/>
  <c r="V108" i="5"/>
  <c r="W108" i="5"/>
  <c r="X108" i="5"/>
  <c r="V88" i="5"/>
  <c r="W88" i="5"/>
  <c r="X88" i="5"/>
  <c r="T139" i="5"/>
  <c r="U139" i="5"/>
  <c r="W50" i="5"/>
  <c r="X50" i="5"/>
  <c r="V50" i="5"/>
  <c r="X44" i="5"/>
  <c r="V44" i="5"/>
  <c r="W44" i="5"/>
  <c r="V70" i="5"/>
  <c r="W70" i="5"/>
  <c r="X70" i="5"/>
  <c r="V61" i="5"/>
  <c r="W61" i="5"/>
  <c r="X61" i="5"/>
  <c r="V48" i="5"/>
  <c r="W48" i="5"/>
  <c r="X48" i="5"/>
  <c r="V82" i="5"/>
  <c r="W82" i="5"/>
  <c r="X82" i="5"/>
  <c r="K78" i="5"/>
  <c r="K57" i="5"/>
  <c r="J50" i="5"/>
  <c r="J63" i="5"/>
  <c r="L63" i="5"/>
  <c r="J71" i="5"/>
  <c r="K71" i="5"/>
  <c r="L71" i="5"/>
  <c r="K69" i="5"/>
  <c r="L86" i="5"/>
  <c r="J86" i="5"/>
  <c r="K86" i="5"/>
  <c r="L58" i="5"/>
  <c r="K58" i="5"/>
  <c r="J58" i="5"/>
  <c r="J84" i="5"/>
  <c r="K84" i="5"/>
  <c r="L84" i="5"/>
  <c r="K70" i="5"/>
  <c r="L70" i="5"/>
  <c r="J70" i="5"/>
  <c r="J83" i="5"/>
  <c r="L83" i="5"/>
  <c r="L56" i="5"/>
  <c r="K56" i="5"/>
  <c r="J56" i="5"/>
  <c r="L69" i="5"/>
  <c r="J69" i="5"/>
  <c r="L57" i="5"/>
  <c r="J57" i="5"/>
  <c r="L50" i="5"/>
  <c r="K50" i="5"/>
  <c r="L61" i="5"/>
  <c r="J61" i="5"/>
  <c r="K61" i="5"/>
  <c r="Z44" i="5"/>
  <c r="AA44" i="5" s="1"/>
  <c r="J72" i="5"/>
  <c r="K72" i="5"/>
  <c r="L72" i="5"/>
  <c r="J78" i="5"/>
  <c r="L78" i="5"/>
  <c r="K46" i="5"/>
  <c r="L46" i="5"/>
  <c r="J46" i="5"/>
  <c r="J59" i="5"/>
  <c r="L59" i="5"/>
  <c r="K59" i="5"/>
  <c r="L65" i="5"/>
  <c r="K91" i="5"/>
  <c r="J91" i="5"/>
  <c r="J65" i="5"/>
  <c r="K65" i="5"/>
  <c r="Z48" i="5"/>
  <c r="AA48" i="5" s="1"/>
  <c r="J82" i="5"/>
  <c r="L82" i="5"/>
  <c r="K82" i="5"/>
  <c r="L60" i="5"/>
  <c r="K60" i="5"/>
  <c r="J60" i="5"/>
  <c r="K74" i="5"/>
  <c r="L74" i="5"/>
  <c r="L87" i="5"/>
  <c r="J87" i="5"/>
  <c r="K87" i="5"/>
  <c r="K52" i="5"/>
  <c r="L52" i="5"/>
  <c r="J52" i="5"/>
  <c r="J62" i="5"/>
  <c r="K62" i="5"/>
  <c r="Z49" i="5"/>
  <c r="AA49" i="5" s="1"/>
  <c r="J88" i="5"/>
  <c r="L88" i="5"/>
  <c r="K89" i="5"/>
  <c r="J89" i="5"/>
  <c r="L89" i="5"/>
  <c r="Z47" i="5"/>
  <c r="AA47" i="5" s="1"/>
  <c r="J76" i="5"/>
  <c r="L76" i="5"/>
  <c r="K76" i="5"/>
  <c r="K73" i="5"/>
  <c r="J73" i="5"/>
  <c r="K63" i="5"/>
  <c r="J85" i="5"/>
  <c r="L85" i="5"/>
  <c r="K85" i="5"/>
  <c r="K75" i="5"/>
  <c r="J75" i="5"/>
  <c r="L75" i="5"/>
  <c r="Z148" i="5"/>
  <c r="AA148" i="5" s="1"/>
  <c r="Z18" i="5"/>
  <c r="AA18" i="5" s="1"/>
  <c r="Z34" i="5"/>
  <c r="AA34" i="5" s="1"/>
  <c r="Z123" i="5"/>
  <c r="AA123" i="5" s="1"/>
  <c r="Z139" i="5"/>
  <c r="AA139" i="5" s="1"/>
  <c r="Z7" i="5"/>
  <c r="AA7" i="5" s="1"/>
  <c r="Z125" i="5"/>
  <c r="AA125" i="5" s="1"/>
  <c r="Z147" i="5"/>
  <c r="AA147" i="5" s="1"/>
  <c r="Z151" i="5"/>
  <c r="AA151" i="5" s="1"/>
  <c r="Z127" i="5"/>
  <c r="AA127" i="5" s="1"/>
  <c r="F134" i="5"/>
  <c r="G134" i="5" s="1"/>
  <c r="Z39" i="5"/>
  <c r="AA39" i="5" s="1"/>
  <c r="Z20" i="5"/>
  <c r="AA20" i="5" s="1"/>
  <c r="Z26" i="5"/>
  <c r="AA26" i="5" s="1"/>
  <c r="Z134" i="5"/>
  <c r="AA134" i="5" s="1"/>
  <c r="Z17" i="5"/>
  <c r="AA17" i="5" s="1"/>
  <c r="Z22" i="5"/>
  <c r="AA22" i="5" s="1"/>
  <c r="Z99" i="5"/>
  <c r="AA99" i="5" s="1"/>
  <c r="Z141" i="5"/>
  <c r="AA141" i="5" s="1"/>
  <c r="Z6" i="5"/>
  <c r="AA6" i="5" s="1"/>
  <c r="Z100" i="5"/>
  <c r="AA100" i="5" s="1"/>
  <c r="Z24" i="5"/>
  <c r="AA24" i="5" s="1"/>
  <c r="Z32" i="5"/>
  <c r="AA32" i="5" s="1"/>
  <c r="Z137" i="5"/>
  <c r="AA137" i="5" s="1"/>
  <c r="Z98" i="5"/>
  <c r="AA98" i="5" s="1"/>
  <c r="Z37" i="5"/>
  <c r="AA37" i="5" s="1"/>
  <c r="Z101" i="5"/>
  <c r="AA101" i="5" s="1"/>
  <c r="Z121" i="5"/>
  <c r="AA121" i="5" s="1"/>
  <c r="Z140" i="5"/>
  <c r="AA140" i="5" s="1"/>
  <c r="Z136" i="5"/>
  <c r="AA136" i="5" s="1"/>
  <c r="Z13" i="5"/>
  <c r="AA13" i="5" s="1"/>
  <c r="Z126" i="5"/>
  <c r="AA126" i="5" s="1"/>
  <c r="Z97" i="5"/>
  <c r="AA97" i="5" s="1"/>
  <c r="Z31" i="5"/>
  <c r="AA31" i="5" s="1"/>
  <c r="Z33" i="5"/>
  <c r="AA33" i="5" s="1"/>
  <c r="Z9" i="5"/>
  <c r="AA9" i="5" s="1"/>
  <c r="Z102" i="5"/>
  <c r="AA102" i="5" s="1"/>
  <c r="Z36" i="5"/>
  <c r="AA36" i="5" s="1"/>
  <c r="Z10" i="5"/>
  <c r="AA10" i="5" s="1"/>
  <c r="Z23" i="5"/>
  <c r="AA23" i="5" s="1"/>
  <c r="Z19" i="5"/>
  <c r="AA19" i="5" s="1"/>
  <c r="Z104" i="5"/>
  <c r="AA104" i="5" s="1"/>
  <c r="Z124" i="5"/>
  <c r="AA124" i="5" s="1"/>
  <c r="Z4" i="5"/>
  <c r="AA4" i="5" s="1"/>
  <c r="Z11" i="5"/>
  <c r="AA11" i="5" s="1"/>
  <c r="Z122" i="5"/>
  <c r="AA122" i="5" s="1"/>
  <c r="Z128" i="5"/>
  <c r="AA128" i="5" s="1"/>
  <c r="Z156" i="5"/>
  <c r="AA156" i="5" s="1"/>
  <c r="Z21" i="5"/>
  <c r="AA21" i="5" s="1"/>
  <c r="Z130" i="5"/>
  <c r="AA130" i="5" s="1"/>
  <c r="Z35" i="5"/>
  <c r="AA35" i="5" s="1"/>
  <c r="Z153" i="5"/>
  <c r="AA153" i="5" s="1"/>
  <c r="Z5" i="5"/>
  <c r="AA5" i="5" s="1"/>
  <c r="Q143" i="5"/>
  <c r="Z30" i="5"/>
  <c r="AA30" i="5" s="1"/>
  <c r="Z95" i="5"/>
  <c r="AA95" i="5" s="1"/>
  <c r="Z143" i="5"/>
  <c r="AA143" i="5" s="1"/>
  <c r="Z8" i="5"/>
  <c r="AA8" i="5" s="1"/>
  <c r="Z96" i="5"/>
  <c r="AA96" i="5" s="1"/>
  <c r="R128" i="5"/>
  <c r="S128" i="5" s="1"/>
  <c r="R143" i="5"/>
  <c r="S143" i="5" s="1"/>
  <c r="Q34" i="5"/>
  <c r="R34" i="5"/>
  <c r="S34" i="5" s="1"/>
  <c r="F10" i="5"/>
  <c r="G10" i="5" s="1"/>
  <c r="E10" i="5"/>
  <c r="F13" i="5"/>
  <c r="G13" i="5" s="1"/>
  <c r="E13" i="5"/>
  <c r="F123" i="5"/>
  <c r="G123" i="5" s="1"/>
  <c r="E123" i="5"/>
  <c r="F139" i="5"/>
  <c r="G139" i="5" s="1"/>
  <c r="E139" i="5"/>
  <c r="Q122" i="5"/>
  <c r="R122" i="5"/>
  <c r="S122" i="5" s="1"/>
  <c r="F124" i="5"/>
  <c r="G124" i="5" s="1"/>
  <c r="E124" i="5"/>
  <c r="Q17" i="5"/>
  <c r="R17" i="5"/>
  <c r="S17" i="5" s="1"/>
  <c r="Q22" i="5"/>
  <c r="R22" i="5"/>
  <c r="S22" i="5" s="1"/>
  <c r="E32" i="5"/>
  <c r="F32" i="5"/>
  <c r="G32" i="5" s="1"/>
  <c r="E97" i="5"/>
  <c r="F97" i="5"/>
  <c r="G97" i="5" s="1"/>
  <c r="E137" i="5"/>
  <c r="F137" i="5"/>
  <c r="G137" i="5" s="1"/>
  <c r="F148" i="5"/>
  <c r="G148" i="5" s="1"/>
  <c r="E148" i="5"/>
  <c r="Q156" i="5"/>
  <c r="R156" i="5"/>
  <c r="S156" i="5" s="1"/>
  <c r="F9" i="5"/>
  <c r="G9" i="5" s="1"/>
  <c r="E9" i="5"/>
  <c r="Q39" i="5"/>
  <c r="R39" i="5"/>
  <c r="S39" i="5" s="1"/>
  <c r="Q20" i="5"/>
  <c r="R20" i="5"/>
  <c r="S20" i="5" s="1"/>
  <c r="F122" i="5"/>
  <c r="G122" i="5" s="1"/>
  <c r="E122" i="5"/>
  <c r="R134" i="5"/>
  <c r="S134" i="5" s="1"/>
  <c r="Q134" i="5"/>
  <c r="E34" i="5"/>
  <c r="F34" i="5"/>
  <c r="G34" i="5" s="1"/>
  <c r="F8" i="5"/>
  <c r="G8" i="5" s="1"/>
  <c r="E8" i="5"/>
  <c r="E96" i="5"/>
  <c r="F96" i="5"/>
  <c r="G96" i="5" s="1"/>
  <c r="Q10" i="5"/>
  <c r="R10" i="5"/>
  <c r="S10" i="5" s="1"/>
  <c r="E26" i="5"/>
  <c r="F26" i="5"/>
  <c r="G26" i="5" s="1"/>
  <c r="Q33" i="5"/>
  <c r="R33" i="5"/>
  <c r="S33" i="5" s="1"/>
  <c r="E98" i="5"/>
  <c r="F98" i="5"/>
  <c r="G98" i="5" s="1"/>
  <c r="R95" i="5"/>
  <c r="S95" i="5" s="1"/>
  <c r="Q95" i="5"/>
  <c r="Q130" i="5"/>
  <c r="R130" i="5"/>
  <c r="S130" i="5" s="1"/>
  <c r="R136" i="5"/>
  <c r="S136" i="5" s="1"/>
  <c r="Q136" i="5"/>
  <c r="E102" i="5"/>
  <c r="F102" i="5"/>
  <c r="G102" i="5" s="1"/>
  <c r="E43" i="5"/>
  <c r="F43" i="5"/>
  <c r="G43" i="5" s="1"/>
  <c r="R153" i="5"/>
  <c r="S153" i="5" s="1"/>
  <c r="Q153" i="5"/>
  <c r="Q104" i="5"/>
  <c r="R104" i="5"/>
  <c r="S104" i="5" s="1"/>
  <c r="Q125" i="5"/>
  <c r="R125" i="5"/>
  <c r="S125" i="5" s="1"/>
  <c r="F36" i="5"/>
  <c r="G36" i="5" s="1"/>
  <c r="E36" i="5"/>
  <c r="Q8" i="5"/>
  <c r="R8" i="5"/>
  <c r="S8" i="5" s="1"/>
  <c r="F17" i="5"/>
  <c r="G17" i="5" s="1"/>
  <c r="E17" i="5"/>
  <c r="Q37" i="5"/>
  <c r="R37" i="5"/>
  <c r="S37" i="5" s="1"/>
  <c r="E22" i="5"/>
  <c r="F22" i="5"/>
  <c r="G22" i="5" s="1"/>
  <c r="E99" i="5"/>
  <c r="F99" i="5"/>
  <c r="G99" i="5" s="1"/>
  <c r="Q98" i="5"/>
  <c r="R98" i="5"/>
  <c r="S98" i="5" s="1"/>
  <c r="E141" i="5"/>
  <c r="F141" i="5"/>
  <c r="G141" i="5" s="1"/>
  <c r="Q141" i="5"/>
  <c r="R141" i="5"/>
  <c r="S141" i="5" s="1"/>
  <c r="E104" i="5"/>
  <c r="F104" i="5"/>
  <c r="G104" i="5" s="1"/>
  <c r="E149" i="5"/>
  <c r="F149" i="5"/>
  <c r="G149" i="5" s="1"/>
  <c r="Q24" i="5"/>
  <c r="R24" i="5"/>
  <c r="S24" i="5" s="1"/>
  <c r="R97" i="5"/>
  <c r="S97" i="5" s="1"/>
  <c r="Q97" i="5"/>
  <c r="Q5" i="5"/>
  <c r="R5" i="5"/>
  <c r="S5" i="5" s="1"/>
  <c r="Q31" i="5"/>
  <c r="R31" i="5"/>
  <c r="S31" i="5" s="1"/>
  <c r="F6" i="5"/>
  <c r="G6" i="5" s="1"/>
  <c r="E6" i="5"/>
  <c r="Q23" i="5"/>
  <c r="R23" i="5"/>
  <c r="S23" i="5" s="1"/>
  <c r="R19" i="5"/>
  <c r="S19" i="5" s="1"/>
  <c r="Q19" i="5"/>
  <c r="F100" i="5"/>
  <c r="G100" i="5" s="1"/>
  <c r="E100" i="5"/>
  <c r="Q101" i="5"/>
  <c r="R101" i="5"/>
  <c r="S101" i="5" s="1"/>
  <c r="Q124" i="5"/>
  <c r="R124" i="5"/>
  <c r="S124" i="5" s="1"/>
  <c r="R148" i="5"/>
  <c r="S148" i="5" s="1"/>
  <c r="Q148" i="5"/>
  <c r="Q154" i="5"/>
  <c r="E31" i="5"/>
  <c r="F31" i="5"/>
  <c r="G31" i="5" s="1"/>
  <c r="F37" i="5"/>
  <c r="G37" i="5" s="1"/>
  <c r="E37" i="5"/>
  <c r="E33" i="5"/>
  <c r="F33" i="5"/>
  <c r="G33" i="5" s="1"/>
  <c r="E101" i="5"/>
  <c r="F101" i="5"/>
  <c r="G101" i="5" s="1"/>
  <c r="F121" i="5"/>
  <c r="G121" i="5" s="1"/>
  <c r="E121" i="5"/>
  <c r="E140" i="5"/>
  <c r="F140" i="5"/>
  <c r="G140" i="5" s="1"/>
  <c r="E136" i="5"/>
  <c r="F136" i="5"/>
  <c r="G136" i="5" s="1"/>
  <c r="E154" i="5"/>
  <c r="Q18" i="5"/>
  <c r="R18" i="5"/>
  <c r="S18" i="5" s="1"/>
  <c r="Q11" i="5"/>
  <c r="R11" i="5"/>
  <c r="S11" i="5" s="1"/>
  <c r="E19" i="5"/>
  <c r="F19" i="5"/>
  <c r="G19" i="5" s="1"/>
  <c r="E11" i="5"/>
  <c r="F11" i="5"/>
  <c r="G11" i="5" s="1"/>
  <c r="F18" i="5"/>
  <c r="G18" i="5" s="1"/>
  <c r="E18" i="5"/>
  <c r="Q100" i="5"/>
  <c r="R100" i="5"/>
  <c r="S100" i="5" s="1"/>
  <c r="F7" i="5"/>
  <c r="G7" i="5" s="1"/>
  <c r="E7" i="5"/>
  <c r="E134" i="5"/>
  <c r="R4" i="5"/>
  <c r="S4" i="5" s="1"/>
  <c r="Q4" i="5"/>
  <c r="E24" i="5"/>
  <c r="F24" i="5"/>
  <c r="G24" i="5" s="1"/>
  <c r="E47" i="5"/>
  <c r="F47" i="5"/>
  <c r="G47" i="5" s="1"/>
  <c r="E125" i="5"/>
  <c r="F125" i="5"/>
  <c r="G125" i="5" s="1"/>
  <c r="F147" i="5"/>
  <c r="G147" i="5" s="1"/>
  <c r="E147" i="5"/>
  <c r="F151" i="5"/>
  <c r="G151" i="5" s="1"/>
  <c r="E151" i="5"/>
  <c r="Q121" i="5"/>
  <c r="R121" i="5"/>
  <c r="S121" i="5" s="1"/>
  <c r="E152" i="5"/>
  <c r="F152" i="5"/>
  <c r="G152" i="5" s="1"/>
  <c r="E127" i="5"/>
  <c r="F127" i="5"/>
  <c r="G127" i="5" s="1"/>
  <c r="F5" i="5"/>
  <c r="G5" i="5" s="1"/>
  <c r="E5" i="5"/>
  <c r="Q26" i="5"/>
  <c r="R26" i="5"/>
  <c r="S26" i="5" s="1"/>
  <c r="R36" i="5"/>
  <c r="S36" i="5" s="1"/>
  <c r="Q36" i="5"/>
  <c r="Q32" i="5"/>
  <c r="R32" i="5"/>
  <c r="S32" i="5" s="1"/>
  <c r="E49" i="5"/>
  <c r="F49" i="5"/>
  <c r="G49" i="5" s="1"/>
  <c r="Q99" i="5"/>
  <c r="R99" i="5"/>
  <c r="S99" i="5" s="1"/>
  <c r="F128" i="5"/>
  <c r="G128" i="5" s="1"/>
  <c r="E128" i="5"/>
  <c r="R137" i="5"/>
  <c r="S137" i="5" s="1"/>
  <c r="Q137" i="5"/>
  <c r="R147" i="5"/>
  <c r="S147" i="5" s="1"/>
  <c r="Q147" i="5"/>
  <c r="E156" i="5"/>
  <c r="F156" i="5"/>
  <c r="G156" i="5" s="1"/>
  <c r="F135" i="5"/>
  <c r="G135" i="5" s="1"/>
  <c r="E135" i="5"/>
  <c r="R6" i="5"/>
  <c r="S6" i="5" s="1"/>
  <c r="Q6" i="5"/>
  <c r="E23" i="5"/>
  <c r="F23" i="5"/>
  <c r="G23" i="5" s="1"/>
  <c r="F4" i="5"/>
  <c r="G4" i="5" s="1"/>
  <c r="E4" i="5"/>
  <c r="R127" i="5"/>
  <c r="S127" i="5" s="1"/>
  <c r="Q127" i="5"/>
  <c r="E44" i="5"/>
  <c r="F44" i="5"/>
  <c r="G44" i="5" s="1"/>
  <c r="Q35" i="5"/>
  <c r="R35" i="5"/>
  <c r="S35" i="5" s="1"/>
  <c r="E45" i="5"/>
  <c r="F45" i="5"/>
  <c r="G45" i="5" s="1"/>
  <c r="E150" i="5"/>
  <c r="F150" i="5"/>
  <c r="G150" i="5" s="1"/>
  <c r="Q13" i="5"/>
  <c r="R13" i="5"/>
  <c r="S13" i="5" s="1"/>
  <c r="F39" i="5"/>
  <c r="G39" i="5" s="1"/>
  <c r="E39" i="5"/>
  <c r="F20" i="5"/>
  <c r="G20" i="5" s="1"/>
  <c r="E20" i="5"/>
  <c r="Q9" i="5"/>
  <c r="R9" i="5"/>
  <c r="S9" i="5" s="1"/>
  <c r="R30" i="5"/>
  <c r="S30" i="5" s="1"/>
  <c r="Q30" i="5"/>
  <c r="R21" i="5"/>
  <c r="S21" i="5" s="1"/>
  <c r="Q21" i="5"/>
  <c r="E48" i="5"/>
  <c r="F48" i="5"/>
  <c r="G48" i="5" s="1"/>
  <c r="F126" i="5"/>
  <c r="G126" i="5" s="1"/>
  <c r="E126" i="5"/>
  <c r="Q126" i="5"/>
  <c r="R126" i="5"/>
  <c r="S126" i="5" s="1"/>
  <c r="R7" i="5"/>
  <c r="S7" i="5" s="1"/>
  <c r="Q7" i="5"/>
  <c r="E35" i="5"/>
  <c r="F35" i="5"/>
  <c r="G35" i="5" s="1"/>
  <c r="Q96" i="5"/>
  <c r="R96" i="5"/>
  <c r="S96" i="5" s="1"/>
  <c r="E138" i="5"/>
  <c r="F138" i="5"/>
  <c r="G138" i="5" s="1"/>
  <c r="E153" i="5"/>
  <c r="F153" i="5"/>
  <c r="G153" i="5" s="1"/>
  <c r="F30" i="5"/>
  <c r="G30" i="5" s="1"/>
  <c r="E30" i="5"/>
  <c r="E21" i="5"/>
  <c r="F21" i="5"/>
  <c r="G21" i="5" s="1"/>
  <c r="F95" i="5"/>
  <c r="G95" i="5" s="1"/>
  <c r="E95" i="5"/>
  <c r="Q102" i="5"/>
  <c r="R102" i="5"/>
  <c r="S102" i="5" s="1"/>
  <c r="E130" i="5"/>
  <c r="F130" i="5"/>
  <c r="G130" i="5" s="1"/>
  <c r="F143" i="5"/>
  <c r="G143" i="5" s="1"/>
  <c r="E143" i="5"/>
  <c r="Q151" i="5"/>
  <c r="R151" i="5"/>
  <c r="S151" i="5" s="1"/>
  <c r="AQ47" i="4"/>
  <c r="AN47" i="4"/>
  <c r="AR53" i="4"/>
  <c r="AQ53" i="4"/>
  <c r="AP53" i="4"/>
  <c r="AR41" i="4"/>
  <c r="AQ41" i="4"/>
  <c r="AP41" i="4"/>
  <c r="AR29" i="4"/>
  <c r="AQ29" i="4"/>
  <c r="AP29" i="4"/>
  <c r="AR11" i="4"/>
  <c r="AQ11" i="4"/>
  <c r="AP11" i="4"/>
  <c r="AR5" i="4"/>
  <c r="AQ5" i="4"/>
  <c r="AP5" i="4"/>
  <c r="AR10" i="4"/>
  <c r="AO53" i="4"/>
  <c r="AN53" i="4"/>
  <c r="AM53" i="4"/>
  <c r="AO41" i="4"/>
  <c r="AN41" i="4"/>
  <c r="AM41" i="4"/>
  <c r="AO35" i="4"/>
  <c r="AN35" i="4"/>
  <c r="AM35" i="4"/>
  <c r="AO29" i="4"/>
  <c r="AN29" i="4"/>
  <c r="AM29" i="4"/>
  <c r="AO23" i="4"/>
  <c r="AN23" i="4"/>
  <c r="AM23" i="4"/>
  <c r="AO17" i="4"/>
  <c r="AN17" i="4"/>
  <c r="AM17" i="4"/>
  <c r="AO11" i="4"/>
  <c r="AN11" i="4"/>
  <c r="AM11" i="4"/>
  <c r="AO5" i="4"/>
  <c r="AN5" i="4"/>
  <c r="AM5" i="4"/>
  <c r="AM10" i="4"/>
  <c r="T36" i="5" l="1"/>
  <c r="U36" i="5"/>
  <c r="T23" i="5"/>
  <c r="U23" i="5"/>
  <c r="T26" i="5"/>
  <c r="U26" i="5"/>
  <c r="T141" i="5"/>
  <c r="U141" i="5"/>
  <c r="T21" i="5"/>
  <c r="U21" i="5"/>
  <c r="T147" i="5"/>
  <c r="U147" i="5"/>
  <c r="T11" i="5"/>
  <c r="U11" i="5"/>
  <c r="T125" i="5"/>
  <c r="U125" i="5"/>
  <c r="T95" i="5"/>
  <c r="U95" i="5"/>
  <c r="U134" i="5"/>
  <c r="T134" i="5"/>
  <c r="T137" i="5"/>
  <c r="U137" i="5"/>
  <c r="U4" i="5"/>
  <c r="T4" i="5"/>
  <c r="U18" i="5"/>
  <c r="T18" i="5"/>
  <c r="U31" i="5"/>
  <c r="T31" i="5"/>
  <c r="U98" i="5"/>
  <c r="T98" i="5"/>
  <c r="T104" i="5"/>
  <c r="U104" i="5"/>
  <c r="T33" i="5"/>
  <c r="U33" i="5"/>
  <c r="T20" i="5"/>
  <c r="U20" i="5"/>
  <c r="T22" i="5"/>
  <c r="U22" i="5"/>
  <c r="T34" i="5"/>
  <c r="U34" i="5"/>
  <c r="T35" i="5"/>
  <c r="U35" i="5"/>
  <c r="T148" i="5"/>
  <c r="U148" i="5"/>
  <c r="T153" i="5"/>
  <c r="U153" i="5"/>
  <c r="T128" i="5"/>
  <c r="U128" i="5"/>
  <c r="U30" i="5"/>
  <c r="T30" i="5"/>
  <c r="U151" i="5"/>
  <c r="T151" i="5"/>
  <c r="T127" i="5"/>
  <c r="U127" i="5"/>
  <c r="T5" i="5"/>
  <c r="U5" i="5"/>
  <c r="U39" i="5"/>
  <c r="T39" i="5"/>
  <c r="T17" i="5"/>
  <c r="U17" i="5"/>
  <c r="T96" i="5"/>
  <c r="U96" i="5"/>
  <c r="W139" i="5"/>
  <c r="V139" i="5"/>
  <c r="X139" i="5"/>
  <c r="T9" i="5"/>
  <c r="U9" i="5"/>
  <c r="T97" i="5"/>
  <c r="U97" i="5"/>
  <c r="T124" i="5"/>
  <c r="U124" i="5"/>
  <c r="T10" i="5"/>
  <c r="U10" i="5"/>
  <c r="T130" i="5"/>
  <c r="U130" i="5"/>
  <c r="T99" i="5"/>
  <c r="U99" i="5"/>
  <c r="U7" i="5"/>
  <c r="T7" i="5"/>
  <c r="T24" i="5"/>
  <c r="U24" i="5"/>
  <c r="T156" i="5"/>
  <c r="U156" i="5"/>
  <c r="X140" i="5"/>
  <c r="V140" i="5"/>
  <c r="W140" i="5"/>
  <c r="X123" i="5"/>
  <c r="W123" i="5"/>
  <c r="V123" i="5"/>
  <c r="T8" i="5"/>
  <c r="U8" i="5"/>
  <c r="T121" i="5"/>
  <c r="U121" i="5"/>
  <c r="T100" i="5"/>
  <c r="U100" i="5"/>
  <c r="T101" i="5"/>
  <c r="U101" i="5"/>
  <c r="T37" i="5"/>
  <c r="U37" i="5"/>
  <c r="U122" i="5"/>
  <c r="T122" i="5"/>
  <c r="T102" i="5"/>
  <c r="U102" i="5"/>
  <c r="U6" i="5"/>
  <c r="T6" i="5"/>
  <c r="T143" i="5"/>
  <c r="U143" i="5"/>
  <c r="T136" i="5"/>
  <c r="U136" i="5"/>
  <c r="T126" i="5"/>
  <c r="U126" i="5"/>
  <c r="T13" i="5"/>
  <c r="U13" i="5"/>
  <c r="T32" i="5"/>
  <c r="U32" i="5"/>
  <c r="U19" i="5"/>
  <c r="T19" i="5"/>
  <c r="I138" i="5"/>
  <c r="H138" i="5"/>
  <c r="H44" i="5"/>
  <c r="I44" i="5"/>
  <c r="H127" i="5"/>
  <c r="I127" i="5"/>
  <c r="I128" i="5"/>
  <c r="H128" i="5"/>
  <c r="H134" i="5"/>
  <c r="I134" i="5"/>
  <c r="H99" i="5"/>
  <c r="I99" i="5"/>
  <c r="H26" i="5"/>
  <c r="I26" i="5"/>
  <c r="I152" i="5"/>
  <c r="H152" i="5"/>
  <c r="I151" i="5"/>
  <c r="H151" i="5"/>
  <c r="H18" i="5"/>
  <c r="I18" i="5"/>
  <c r="H100" i="5"/>
  <c r="I100" i="5"/>
  <c r="H17" i="5"/>
  <c r="I17" i="5"/>
  <c r="H8" i="5"/>
  <c r="I8" i="5"/>
  <c r="H148" i="5"/>
  <c r="I148" i="5"/>
  <c r="I139" i="5"/>
  <c r="H139" i="5"/>
  <c r="I35" i="5"/>
  <c r="H35" i="5"/>
  <c r="I140" i="5"/>
  <c r="H140" i="5"/>
  <c r="H121" i="5"/>
  <c r="I121" i="5"/>
  <c r="H149" i="5"/>
  <c r="I149" i="5"/>
  <c r="H101" i="5"/>
  <c r="I101" i="5"/>
  <c r="H123" i="5"/>
  <c r="I123" i="5"/>
  <c r="H20" i="5"/>
  <c r="I20" i="5"/>
  <c r="H130" i="5"/>
  <c r="I130" i="5"/>
  <c r="H39" i="5"/>
  <c r="I39" i="5"/>
  <c r="H49" i="5"/>
  <c r="I49" i="5"/>
  <c r="H126" i="5"/>
  <c r="I126" i="5"/>
  <c r="H11" i="5"/>
  <c r="I11" i="5"/>
  <c r="I104" i="5"/>
  <c r="H104" i="5"/>
  <c r="H34" i="5"/>
  <c r="I34" i="5"/>
  <c r="H137" i="5"/>
  <c r="I137" i="5"/>
  <c r="H4" i="5"/>
  <c r="I4" i="5"/>
  <c r="I95" i="5"/>
  <c r="H95" i="5"/>
  <c r="H147" i="5"/>
  <c r="I147" i="5"/>
  <c r="I150" i="5"/>
  <c r="H150" i="5"/>
  <c r="H33" i="5"/>
  <c r="I33" i="5"/>
  <c r="H36" i="5"/>
  <c r="I36" i="5"/>
  <c r="H13" i="5"/>
  <c r="I13" i="5"/>
  <c r="H143" i="5"/>
  <c r="I143" i="5"/>
  <c r="I22" i="5"/>
  <c r="H22" i="5"/>
  <c r="H125" i="5"/>
  <c r="I125" i="5"/>
  <c r="H30" i="5"/>
  <c r="I30" i="5"/>
  <c r="H19" i="5"/>
  <c r="I19" i="5"/>
  <c r="H37" i="5"/>
  <c r="I37" i="5"/>
  <c r="H97" i="5"/>
  <c r="I97" i="5"/>
  <c r="H43" i="5"/>
  <c r="I43" i="5"/>
  <c r="I23" i="5"/>
  <c r="H23" i="5"/>
  <c r="H21" i="5"/>
  <c r="I21" i="5"/>
  <c r="H48" i="5"/>
  <c r="I48" i="5"/>
  <c r="H45" i="5"/>
  <c r="I45" i="5"/>
  <c r="H156" i="5"/>
  <c r="I156" i="5"/>
  <c r="H47" i="5"/>
  <c r="I47" i="5"/>
  <c r="H6" i="5"/>
  <c r="I6" i="5"/>
  <c r="H122" i="5"/>
  <c r="I122" i="5"/>
  <c r="I10" i="5"/>
  <c r="H10" i="5"/>
  <c r="H9" i="5"/>
  <c r="I9" i="5"/>
  <c r="H5" i="5"/>
  <c r="I5" i="5"/>
  <c r="H141" i="5"/>
  <c r="I141" i="5"/>
  <c r="H98" i="5"/>
  <c r="I98" i="5"/>
  <c r="H32" i="5"/>
  <c r="I32" i="5"/>
  <c r="H136" i="5"/>
  <c r="I136" i="5"/>
  <c r="H124" i="5"/>
  <c r="I124" i="5"/>
  <c r="H96" i="5"/>
  <c r="I96" i="5"/>
  <c r="H135" i="5"/>
  <c r="I135" i="5"/>
  <c r="H24" i="5"/>
  <c r="I24" i="5"/>
  <c r="H31" i="5"/>
  <c r="I31" i="5"/>
  <c r="H7" i="5"/>
  <c r="I7" i="5"/>
  <c r="I102" i="5"/>
  <c r="H102" i="5"/>
  <c r="H153" i="5"/>
  <c r="I153" i="5"/>
  <c r="K135" i="5" l="1"/>
  <c r="K130" i="5"/>
  <c r="K9" i="5"/>
  <c r="J19" i="5"/>
  <c r="J126" i="5"/>
  <c r="L121" i="5"/>
  <c r="X125" i="5"/>
  <c r="V125" i="5"/>
  <c r="W125" i="5"/>
  <c r="W126" i="5"/>
  <c r="X126" i="5"/>
  <c r="V126" i="5"/>
  <c r="W100" i="5"/>
  <c r="X100" i="5"/>
  <c r="V100" i="5"/>
  <c r="V98" i="5"/>
  <c r="X98" i="5"/>
  <c r="W98" i="5"/>
  <c r="V20" i="5"/>
  <c r="X20" i="5"/>
  <c r="W20" i="5"/>
  <c r="W101" i="5"/>
  <c r="X101" i="5"/>
  <c r="V101" i="5"/>
  <c r="X96" i="5"/>
  <c r="V96" i="5"/>
  <c r="W96" i="5"/>
  <c r="W153" i="5"/>
  <c r="X153" i="5"/>
  <c r="V153" i="5"/>
  <c r="W11" i="5"/>
  <c r="V11" i="5"/>
  <c r="X11" i="5"/>
  <c r="X136" i="5"/>
  <c r="W136" i="5"/>
  <c r="W121" i="5"/>
  <c r="X121" i="5"/>
  <c r="V121" i="5"/>
  <c r="X99" i="5"/>
  <c r="V99" i="5"/>
  <c r="W99" i="5"/>
  <c r="V31" i="5"/>
  <c r="X31" i="5"/>
  <c r="W31" i="5"/>
  <c r="V17" i="5"/>
  <c r="W17" i="5"/>
  <c r="X17" i="5"/>
  <c r="V148" i="5"/>
  <c r="W148" i="5"/>
  <c r="X148" i="5"/>
  <c r="W147" i="5"/>
  <c r="X147" i="5"/>
  <c r="V147" i="5"/>
  <c r="W23" i="5"/>
  <c r="X23" i="5"/>
  <c r="V23" i="5"/>
  <c r="V128" i="5"/>
  <c r="X128" i="5"/>
  <c r="V143" i="5"/>
  <c r="X143" i="5"/>
  <c r="W143" i="5"/>
  <c r="W8" i="5"/>
  <c r="X8" i="5"/>
  <c r="V8" i="5"/>
  <c r="X130" i="5"/>
  <c r="W130" i="5"/>
  <c r="V130" i="5"/>
  <c r="W39" i="5"/>
  <c r="X39" i="5"/>
  <c r="V39" i="5"/>
  <c r="W18" i="5"/>
  <c r="X18" i="5"/>
  <c r="V18" i="5"/>
  <c r="V6" i="5"/>
  <c r="X6" i="5"/>
  <c r="W6" i="5"/>
  <c r="W35" i="5"/>
  <c r="V35" i="5"/>
  <c r="X35" i="5"/>
  <c r="W21" i="5"/>
  <c r="V21" i="5"/>
  <c r="X21" i="5"/>
  <c r="X24" i="5"/>
  <c r="W24" i="5"/>
  <c r="V24" i="5"/>
  <c r="W7" i="5"/>
  <c r="X7" i="5"/>
  <c r="V7" i="5"/>
  <c r="W10" i="5"/>
  <c r="V10" i="5"/>
  <c r="X10" i="5"/>
  <c r="W4" i="5"/>
  <c r="X4" i="5"/>
  <c r="V4" i="5"/>
  <c r="X13" i="5"/>
  <c r="W13" i="5"/>
  <c r="V13" i="5"/>
  <c r="W5" i="5"/>
  <c r="X5" i="5"/>
  <c r="V5" i="5"/>
  <c r="V34" i="5"/>
  <c r="W34" i="5"/>
  <c r="X34" i="5"/>
  <c r="V141" i="5"/>
  <c r="X141" i="5"/>
  <c r="W141" i="5"/>
  <c r="W102" i="5"/>
  <c r="X102" i="5"/>
  <c r="V102" i="5"/>
  <c r="V124" i="5"/>
  <c r="W124" i="5"/>
  <c r="X124" i="5"/>
  <c r="W104" i="5"/>
  <c r="X104" i="5"/>
  <c r="V104" i="5"/>
  <c r="W19" i="5"/>
  <c r="X19" i="5"/>
  <c r="V19" i="5"/>
  <c r="W122" i="5"/>
  <c r="X122" i="5"/>
  <c r="V122" i="5"/>
  <c r="W127" i="5"/>
  <c r="X127" i="5"/>
  <c r="V127" i="5"/>
  <c r="V22" i="5"/>
  <c r="W22" i="5"/>
  <c r="X22" i="5"/>
  <c r="V137" i="5"/>
  <c r="W137" i="5"/>
  <c r="X137" i="5"/>
  <c r="X26" i="5"/>
  <c r="V26" i="5"/>
  <c r="W26" i="5"/>
  <c r="V97" i="5"/>
  <c r="X97" i="5"/>
  <c r="W97" i="5"/>
  <c r="X151" i="5"/>
  <c r="W151" i="5"/>
  <c r="V151" i="5"/>
  <c r="X134" i="5"/>
  <c r="W134" i="5"/>
  <c r="V134" i="5"/>
  <c r="V32" i="5"/>
  <c r="W32" i="5"/>
  <c r="X32" i="5"/>
  <c r="X37" i="5"/>
  <c r="V37" i="5"/>
  <c r="W156" i="5"/>
  <c r="X156" i="5"/>
  <c r="V156" i="5"/>
  <c r="X9" i="5"/>
  <c r="V9" i="5"/>
  <c r="W9" i="5"/>
  <c r="V30" i="5"/>
  <c r="X30" i="5"/>
  <c r="W30" i="5"/>
  <c r="L143" i="5"/>
  <c r="V33" i="5"/>
  <c r="X33" i="5"/>
  <c r="W33" i="5"/>
  <c r="X95" i="5"/>
  <c r="W95" i="5"/>
  <c r="V95" i="5"/>
  <c r="X36" i="5"/>
  <c r="W36" i="5"/>
  <c r="V36" i="5"/>
  <c r="J37" i="5"/>
  <c r="J100" i="5"/>
  <c r="J138" i="5"/>
  <c r="L152" i="5"/>
  <c r="J152" i="5"/>
  <c r="J24" i="5"/>
  <c r="L24" i="5"/>
  <c r="K24" i="5"/>
  <c r="L5" i="5"/>
  <c r="J5" i="5"/>
  <c r="K5" i="5"/>
  <c r="K48" i="5"/>
  <c r="L48" i="5"/>
  <c r="J48" i="5"/>
  <c r="J125" i="5"/>
  <c r="K125" i="5"/>
  <c r="L125" i="5"/>
  <c r="L95" i="5"/>
  <c r="K39" i="5"/>
  <c r="J39" i="5"/>
  <c r="L39" i="5"/>
  <c r="K152" i="5"/>
  <c r="L4" i="5"/>
  <c r="L9" i="5"/>
  <c r="J9" i="5"/>
  <c r="L130" i="5"/>
  <c r="J130" i="5"/>
  <c r="L10" i="5"/>
  <c r="K10" i="5"/>
  <c r="J10" i="5"/>
  <c r="K23" i="5"/>
  <c r="J23" i="5"/>
  <c r="L23" i="5"/>
  <c r="L96" i="5"/>
  <c r="K96" i="5"/>
  <c r="J96" i="5"/>
  <c r="K143" i="5"/>
  <c r="J143" i="5"/>
  <c r="J137" i="5"/>
  <c r="K137" i="5"/>
  <c r="L137" i="5"/>
  <c r="J20" i="5"/>
  <c r="L20" i="5"/>
  <c r="K20" i="5"/>
  <c r="K148" i="5"/>
  <c r="J148" i="5"/>
  <c r="L148" i="5"/>
  <c r="K99" i="5"/>
  <c r="J99" i="5"/>
  <c r="L99" i="5"/>
  <c r="J135" i="5"/>
  <c r="L135" i="5"/>
  <c r="K34" i="5"/>
  <c r="J8" i="5"/>
  <c r="K8" i="5"/>
  <c r="L8" i="5"/>
  <c r="J95" i="5"/>
  <c r="K95" i="5"/>
  <c r="L22" i="5"/>
  <c r="J22" i="5"/>
  <c r="K22" i="5"/>
  <c r="K124" i="5"/>
  <c r="L124" i="5"/>
  <c r="J124" i="5"/>
  <c r="L122" i="5"/>
  <c r="K122" i="5"/>
  <c r="J122" i="5"/>
  <c r="L43" i="5"/>
  <c r="K43" i="5"/>
  <c r="J43" i="5"/>
  <c r="L13" i="5"/>
  <c r="J13" i="5"/>
  <c r="K13" i="5"/>
  <c r="J34" i="5"/>
  <c r="L34" i="5"/>
  <c r="J134" i="5"/>
  <c r="K134" i="5"/>
  <c r="L134" i="5"/>
  <c r="L36" i="5"/>
  <c r="J104" i="5"/>
  <c r="L104" i="5"/>
  <c r="K104" i="5"/>
  <c r="J17" i="5"/>
  <c r="J128" i="5"/>
  <c r="L128" i="5"/>
  <c r="L26" i="5"/>
  <c r="J26" i="5"/>
  <c r="K26" i="5"/>
  <c r="J123" i="5"/>
  <c r="K123" i="5"/>
  <c r="L123" i="5"/>
  <c r="L153" i="5"/>
  <c r="K153" i="5"/>
  <c r="J153" i="5"/>
  <c r="K136" i="5"/>
  <c r="L136" i="5"/>
  <c r="J136" i="5"/>
  <c r="K6" i="5"/>
  <c r="L6" i="5"/>
  <c r="J6" i="5"/>
  <c r="L97" i="5"/>
  <c r="K97" i="5"/>
  <c r="J97" i="5"/>
  <c r="J36" i="5"/>
  <c r="K36" i="5"/>
  <c r="L101" i="5"/>
  <c r="J101" i="5"/>
  <c r="K101" i="5"/>
  <c r="K17" i="5"/>
  <c r="L17" i="5"/>
  <c r="L35" i="5"/>
  <c r="J35" i="5"/>
  <c r="K35" i="5"/>
  <c r="J47" i="5"/>
  <c r="K47" i="5"/>
  <c r="L47" i="5"/>
  <c r="L37" i="5"/>
  <c r="K33" i="5"/>
  <c r="L33" i="5"/>
  <c r="J33" i="5"/>
  <c r="L11" i="5"/>
  <c r="K11" i="5"/>
  <c r="J11" i="5"/>
  <c r="K149" i="5"/>
  <c r="J149" i="5"/>
  <c r="L149" i="5"/>
  <c r="L100" i="5"/>
  <c r="K100" i="5"/>
  <c r="J127" i="5"/>
  <c r="K127" i="5"/>
  <c r="L127" i="5"/>
  <c r="L21" i="5"/>
  <c r="J21" i="5"/>
  <c r="K21" i="5"/>
  <c r="K102" i="5"/>
  <c r="J102" i="5"/>
  <c r="L102" i="5"/>
  <c r="J32" i="5"/>
  <c r="L32" i="5"/>
  <c r="K32" i="5"/>
  <c r="L150" i="5"/>
  <c r="J150" i="5"/>
  <c r="K150" i="5"/>
  <c r="L139" i="5"/>
  <c r="K139" i="5"/>
  <c r="J139" i="5"/>
  <c r="J7" i="5"/>
  <c r="K7" i="5"/>
  <c r="L7" i="5"/>
  <c r="L98" i="5"/>
  <c r="K98" i="5"/>
  <c r="J98" i="5"/>
  <c r="J156" i="5"/>
  <c r="K156" i="5"/>
  <c r="L156" i="5"/>
  <c r="L19" i="5"/>
  <c r="K19" i="5"/>
  <c r="L126" i="5"/>
  <c r="K126" i="5"/>
  <c r="K121" i="5"/>
  <c r="J121" i="5"/>
  <c r="L18" i="5"/>
  <c r="J18" i="5"/>
  <c r="K18" i="5"/>
  <c r="K44" i="5"/>
  <c r="L44" i="5"/>
  <c r="J44" i="5"/>
  <c r="K31" i="5"/>
  <c r="L141" i="5"/>
  <c r="L140" i="5"/>
  <c r="K140" i="5"/>
  <c r="J140" i="5"/>
  <c r="J151" i="5"/>
  <c r="K151" i="5"/>
  <c r="L151" i="5"/>
  <c r="K138" i="5"/>
  <c r="L138" i="5"/>
  <c r="K4" i="5"/>
  <c r="J4" i="5"/>
  <c r="L31" i="5"/>
  <c r="J31" i="5"/>
  <c r="J141" i="5"/>
  <c r="K141" i="5"/>
  <c r="J45" i="5"/>
  <c r="L45" i="5"/>
  <c r="K45" i="5"/>
  <c r="L30" i="5"/>
  <c r="J30" i="5"/>
  <c r="K30" i="5"/>
  <c r="K147" i="5"/>
  <c r="L147" i="5"/>
  <c r="J147" i="5"/>
  <c r="K49" i="5"/>
  <c r="L49" i="5"/>
  <c r="J49" i="5"/>
</calcChain>
</file>

<file path=xl/sharedStrings.xml><?xml version="1.0" encoding="utf-8"?>
<sst xmlns="http://schemas.openxmlformats.org/spreadsheetml/2006/main" count="675" uniqueCount="158">
  <si>
    <t>CWPO</t>
  </si>
  <si>
    <t>NaOCl 3%</t>
  </si>
  <si>
    <t>NaOH 10M RT</t>
  </si>
  <si>
    <t>H2O2 30% RT</t>
  </si>
  <si>
    <t>KOH</t>
  </si>
  <si>
    <t>H2O2 40°C</t>
  </si>
  <si>
    <t>NaOH 40°C</t>
  </si>
  <si>
    <t>T-TEST</t>
  </si>
  <si>
    <t>ASTM protocol</t>
  </si>
  <si>
    <t>NA</t>
  </si>
  <si>
    <t>-</t>
  </si>
  <si>
    <t>Carbonyl</t>
  </si>
  <si>
    <t>CI</t>
  </si>
  <si>
    <t>Absorbance</t>
  </si>
  <si>
    <t>PES</t>
  </si>
  <si>
    <t>PA</t>
  </si>
  <si>
    <t>PMMA</t>
  </si>
  <si>
    <t>PE</t>
  </si>
  <si>
    <t>PET</t>
  </si>
  <si>
    <t>PP</t>
  </si>
  <si>
    <t>PU</t>
  </si>
  <si>
    <t>PVC</t>
  </si>
  <si>
    <t xml:space="preserve">PET 1 </t>
  </si>
  <si>
    <t>PET 2</t>
  </si>
  <si>
    <t>PET 3</t>
  </si>
  <si>
    <t>PVC 1</t>
  </si>
  <si>
    <t>PVC 2</t>
  </si>
  <si>
    <t>PVC 3</t>
  </si>
  <si>
    <t>CI or COI</t>
  </si>
  <si>
    <t>PVC COI</t>
  </si>
  <si>
    <t>Mean</t>
  </si>
  <si>
    <t>Standard deviation</t>
  </si>
  <si>
    <t>PES BEFORE</t>
  </si>
  <si>
    <t>PES AFTER</t>
  </si>
  <si>
    <t>PA BEFORE</t>
  </si>
  <si>
    <t>PA AFTER</t>
  </si>
  <si>
    <t>PMMA BEFORE</t>
  </si>
  <si>
    <t>PMMA AFTER</t>
  </si>
  <si>
    <t>PE BEFORE</t>
  </si>
  <si>
    <t>PE AFTER</t>
  </si>
  <si>
    <t>CELLULOSE BEFORE</t>
  </si>
  <si>
    <t>CELLULOSE AFTER</t>
  </si>
  <si>
    <t>Enzymatic</t>
  </si>
  <si>
    <t>Blank</t>
  </si>
  <si>
    <t>Replicate :</t>
  </si>
  <si>
    <t>Total area</t>
  </si>
  <si>
    <t>Holes Area</t>
  </si>
  <si>
    <t>Microplastic type</t>
  </si>
  <si>
    <t>Measured parameter</t>
  </si>
  <si>
    <t>N° Replicate</t>
  </si>
  <si>
    <t>Mean diameter (µm)</t>
  </si>
  <si>
    <t>95% confidence interval (mean ± indicated value)</t>
  </si>
  <si>
    <t>Mean-2*standard deviation</t>
  </si>
  <si>
    <t>Mean+2*standard deviation</t>
  </si>
  <si>
    <t>Outliers Replicate 1</t>
  </si>
  <si>
    <t>Outliers Replicate 2</t>
  </si>
  <si>
    <t>Outliers Replicate 3</t>
  </si>
  <si>
    <t>Normality Shapiro-Wilk test</t>
  </si>
  <si>
    <t>Significant variation (at 95%)</t>
  </si>
  <si>
    <t>NO</t>
  </si>
  <si>
    <t>Wavelength (cm-1)</t>
  </si>
  <si>
    <t>MP</t>
  </si>
  <si>
    <t>PES BEFORE1</t>
  </si>
  <si>
    <t>PA BEFORE1</t>
  </si>
  <si>
    <t>PMMA BEFORE1</t>
  </si>
  <si>
    <t>PE BEFORE1</t>
  </si>
  <si>
    <t>PET BEFORE1</t>
  </si>
  <si>
    <t>PP BEFORE1</t>
  </si>
  <si>
    <t>PU BEFORE1</t>
  </si>
  <si>
    <t>PVC BEFORE1</t>
  </si>
  <si>
    <t>PES BEFORE2</t>
  </si>
  <si>
    <t>PA BEFORE2</t>
  </si>
  <si>
    <t>PMMA BEFORE2</t>
  </si>
  <si>
    <t>PE BEFORE2</t>
  </si>
  <si>
    <t>PET BEFORE2</t>
  </si>
  <si>
    <t>PP BEFORE2</t>
  </si>
  <si>
    <t>PU BEFORE2</t>
  </si>
  <si>
    <t>PVC BEFORE2</t>
  </si>
  <si>
    <t>PES BEFORE3</t>
  </si>
  <si>
    <t>PA BEFORE3</t>
  </si>
  <si>
    <t>PMMA BEFORE3</t>
  </si>
  <si>
    <t>PE BEFORE3</t>
  </si>
  <si>
    <t>PET BEFORE3</t>
  </si>
  <si>
    <t>PP BEFORE3</t>
  </si>
  <si>
    <t>PU BEFORE3</t>
  </si>
  <si>
    <t>PVC BEFORE3</t>
  </si>
  <si>
    <t>SBR</t>
  </si>
  <si>
    <t>SBR BEFORE1</t>
  </si>
  <si>
    <t>SBR BEFORE2</t>
  </si>
  <si>
    <t>SBR BEFORE3</t>
  </si>
  <si>
    <t>PES AFTER1</t>
  </si>
  <si>
    <t>PA AFTER1</t>
  </si>
  <si>
    <t>PMMA AFTER1</t>
  </si>
  <si>
    <t>SBR AFTER1</t>
  </si>
  <si>
    <t>PE AFTER1</t>
  </si>
  <si>
    <t>PET AFTER1</t>
  </si>
  <si>
    <t>PP AFTER1</t>
  </si>
  <si>
    <t>PU AFTER1</t>
  </si>
  <si>
    <t>PVC AFTER1</t>
  </si>
  <si>
    <t>PES AFTER2</t>
  </si>
  <si>
    <t>PA AFTER2</t>
  </si>
  <si>
    <t>PMMA AFTER2</t>
  </si>
  <si>
    <t>SBR AFTER2</t>
  </si>
  <si>
    <t>PE AFTER2</t>
  </si>
  <si>
    <t>PET AFTER2</t>
  </si>
  <si>
    <t>PP AFTER2</t>
  </si>
  <si>
    <t>PU AFTER2</t>
  </si>
  <si>
    <t>PVC AFTER2</t>
  </si>
  <si>
    <t>PES AFTER3</t>
  </si>
  <si>
    <t>PA AFTER3</t>
  </si>
  <si>
    <t>PMMA AFTER3</t>
  </si>
  <si>
    <t>SBR AFTER3</t>
  </si>
  <si>
    <t>PE AFTER3</t>
  </si>
  <si>
    <t>PET AFTER3</t>
  </si>
  <si>
    <t>PP AFTER3</t>
  </si>
  <si>
    <t>PU AFTER3</t>
  </si>
  <si>
    <t>PVC AFTER3</t>
  </si>
  <si>
    <t>SBR BEFORE</t>
  </si>
  <si>
    <t>PET BEFORE</t>
  </si>
  <si>
    <t>PP BEFORE</t>
  </si>
  <si>
    <t>PU BEFORE</t>
  </si>
  <si>
    <t>PVC BEFORE</t>
  </si>
  <si>
    <t>SBR AFTER</t>
  </si>
  <si>
    <t>PET AFTER</t>
  </si>
  <si>
    <t>PP AFTER</t>
  </si>
  <si>
    <t>PU AFTER</t>
  </si>
  <si>
    <t>PVC AFTER</t>
  </si>
  <si>
    <t>SD</t>
  </si>
  <si>
    <t>Reference</t>
  </si>
  <si>
    <t>Replicate</t>
  </si>
  <si>
    <t>Means of errors</t>
  </si>
  <si>
    <t>Variation of standard deviation</t>
  </si>
  <si>
    <t>T-Test CI BEFORE/AFTER</t>
  </si>
  <si>
    <t>Significant variation</t>
  </si>
  <si>
    <t>Correlations in the PerkinElmer software after compared with before</t>
  </si>
  <si>
    <t>COTTON BEFORE</t>
  </si>
  <si>
    <t>COTTON AFTER</t>
  </si>
  <si>
    <t>WOOL BEFORE</t>
  </si>
  <si>
    <t>WOOL AFTER</t>
  </si>
  <si>
    <r>
      <t>30 %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RT</t>
    </r>
  </si>
  <si>
    <t>3 % NaOCl</t>
  </si>
  <si>
    <t>10 M NaOH RT</t>
  </si>
  <si>
    <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40°C</t>
    </r>
  </si>
  <si>
    <t>NaOH 40 °C</t>
  </si>
  <si>
    <t>6 estimated fiber diameter per replicate (µm)</t>
  </si>
  <si>
    <r>
      <t>Estimation of the total surface area and the surface area of the holes in the samples (µm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)</t>
    </r>
  </si>
  <si>
    <t>PUR BEFORE</t>
  </si>
  <si>
    <t>PUR AFTER</t>
  </si>
  <si>
    <t>Particle area (µm2)²</t>
  </si>
  <si>
    <r>
      <t>Particle area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</si>
  <si>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Ratio of void surface area to total particle surface area (%)</t>
  </si>
  <si>
    <t>Outlier</t>
  </si>
  <si>
    <t>PVC COI BEFORE1</t>
  </si>
  <si>
    <t>PVC COI BEFORE2</t>
  </si>
  <si>
    <t>PVC COI BEFORE3</t>
  </si>
  <si>
    <t>PVC COI AFTER1</t>
  </si>
  <si>
    <t>PVC COI AFTER2</t>
  </si>
  <si>
    <t>PVC COI AFTER3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</si>
</sst>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3" fillId="0" borderId="12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0" xfId="0" applyBorder="1"/>
    <xf numFmtId="0" fontId="0" fillId="0" borderId="22" xfId="0" applyBorder="1"/>
    <xf numFmtId="9" fontId="0" fillId="0" borderId="5" xfId="1" applyFont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2" fillId="0" borderId="34" xfId="0" applyFont="1" applyBorder="1"/>
    <xf numFmtId="0" fontId="0" fillId="0" borderId="39" xfId="0" applyBorder="1"/>
    <xf numFmtId="0" fontId="0" fillId="0" borderId="40" xfId="0" applyBorder="1"/>
    <xf numFmtId="0" fontId="0" fillId="0" borderId="38" xfId="0" applyBorder="1"/>
    <xf numFmtId="0" fontId="0" fillId="0" borderId="41" xfId="0" applyBorder="1"/>
    <xf numFmtId="9" fontId="0" fillId="0" borderId="5" xfId="1" applyFont="1" applyFill="1" applyBorder="1"/>
    <xf numFmtId="9" fontId="0" fillId="0" borderId="16" xfId="1" applyFont="1" applyFill="1" applyBorder="1"/>
    <xf numFmtId="0" fontId="0" fillId="0" borderId="43" xfId="0" applyBorder="1"/>
    <xf numFmtId="0" fontId="0" fillId="0" borderId="44" xfId="0" applyBorder="1"/>
    <xf numFmtId="0" fontId="0" fillId="0" borderId="0" xfId="0" applyAlignment="1">
      <alignment horizontal="center"/>
    </xf>
    <xf numFmtId="0" fontId="0" fillId="0" borderId="48" xfId="0" applyBorder="1"/>
    <xf numFmtId="9" fontId="0" fillId="0" borderId="24" xfId="1" applyFont="1" applyFill="1" applyBorder="1"/>
    <xf numFmtId="9" fontId="0" fillId="0" borderId="25" xfId="1" applyFont="1" applyFill="1" applyBorder="1"/>
    <xf numFmtId="9" fontId="0" fillId="0" borderId="26" xfId="1" applyFont="1" applyFill="1" applyBorder="1"/>
    <xf numFmtId="0" fontId="0" fillId="0" borderId="5" xfId="1" applyNumberFormat="1" applyFont="1" applyFill="1" applyBorder="1"/>
    <xf numFmtId="1" fontId="0" fillId="0" borderId="18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1" fontId="0" fillId="0" borderId="5" xfId="0" applyNumberFormat="1" applyBorder="1"/>
    <xf numFmtId="2" fontId="0" fillId="0" borderId="5" xfId="0" applyNumberFormat="1" applyBorder="1"/>
    <xf numFmtId="2" fontId="0" fillId="0" borderId="13" xfId="0" applyNumberFormat="1" applyBorder="1"/>
    <xf numFmtId="9" fontId="0" fillId="0" borderId="0" xfId="1" applyFont="1"/>
    <xf numFmtId="2" fontId="0" fillId="0" borderId="0" xfId="0" applyNumberFormat="1"/>
    <xf numFmtId="0" fontId="0" fillId="0" borderId="0" xfId="0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165" fontId="0" fillId="0" borderId="39" xfId="0" applyNumberFormat="1" applyBorder="1"/>
    <xf numFmtId="165" fontId="0" fillId="0" borderId="40" xfId="0" applyNumberFormat="1" applyBorder="1"/>
    <xf numFmtId="9" fontId="0" fillId="0" borderId="39" xfId="0" applyNumberFormat="1" applyBorder="1"/>
    <xf numFmtId="9" fontId="0" fillId="0" borderId="40" xfId="0" applyNumberFormat="1" applyBorder="1"/>
    <xf numFmtId="0" fontId="0" fillId="0" borderId="6" xfId="0" applyBorder="1"/>
    <xf numFmtId="0" fontId="0" fillId="0" borderId="8" xfId="0" applyBorder="1"/>
    <xf numFmtId="0" fontId="0" fillId="0" borderId="52" xfId="0" applyBorder="1"/>
    <xf numFmtId="0" fontId="0" fillId="0" borderId="53" xfId="0" applyBorder="1"/>
    <xf numFmtId="0" fontId="0" fillId="0" borderId="55" xfId="0" applyBorder="1" applyAlignment="1">
      <alignment horizontal="center"/>
    </xf>
    <xf numFmtId="0" fontId="0" fillId="0" borderId="54" xfId="0" applyBorder="1"/>
    <xf numFmtId="0" fontId="0" fillId="0" borderId="55" xfId="0" applyBorder="1"/>
    <xf numFmtId="0" fontId="0" fillId="0" borderId="4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165" fontId="0" fillId="0" borderId="32" xfId="0" applyNumberFormat="1" applyBorder="1" applyAlignment="1">
      <alignment horizontal="center"/>
    </xf>
    <xf numFmtId="165" fontId="0" fillId="0" borderId="33" xfId="0" applyNumberForma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 wrapText="1"/>
    </xf>
    <xf numFmtId="166" fontId="0" fillId="0" borderId="5" xfId="1" applyNumberFormat="1" applyFont="1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0" fillId="0" borderId="13" xfId="0" applyFill="1" applyBorder="1"/>
    <xf numFmtId="0" fontId="0" fillId="0" borderId="12" xfId="0" applyFill="1" applyBorder="1"/>
    <xf numFmtId="0" fontId="0" fillId="0" borderId="5" xfId="0" applyFill="1" applyBorder="1"/>
    <xf numFmtId="0" fontId="0" fillId="0" borderId="24" xfId="0" applyFill="1" applyBorder="1"/>
    <xf numFmtId="0" fontId="0" fillId="0" borderId="25" xfId="0" applyFill="1" applyBorder="1"/>
    <xf numFmtId="0" fontId="0" fillId="0" borderId="26" xfId="0" applyFill="1" applyBorder="1"/>
    <xf numFmtId="0" fontId="0" fillId="0" borderId="0" xfId="0" applyFill="1"/>
    <xf numFmtId="0" fontId="0" fillId="0" borderId="1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20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11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28" xfId="0" applyFill="1" applyBorder="1"/>
    <xf numFmtId="0" fontId="0" fillId="0" borderId="21" xfId="0" applyFill="1" applyBorder="1"/>
    <xf numFmtId="0" fontId="0" fillId="0" borderId="27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30" xfId="0" applyFill="1" applyBorder="1"/>
    <xf numFmtId="0" fontId="0" fillId="0" borderId="31" xfId="0" applyFill="1" applyBorder="1"/>
    <xf numFmtId="164" fontId="0" fillId="0" borderId="17" xfId="0" applyNumberFormat="1" applyFill="1" applyBorder="1"/>
    <xf numFmtId="164" fontId="0" fillId="0" borderId="18" xfId="0" applyNumberFormat="1" applyFill="1" applyBorder="1"/>
    <xf numFmtId="164" fontId="0" fillId="0" borderId="19" xfId="0" applyNumberFormat="1" applyFill="1" applyBorder="1"/>
    <xf numFmtId="164" fontId="0" fillId="0" borderId="22" xfId="0" applyNumberFormat="1" applyFill="1" applyBorder="1"/>
    <xf numFmtId="164" fontId="0" fillId="0" borderId="5" xfId="0" applyNumberFormat="1" applyFill="1" applyBorder="1"/>
    <xf numFmtId="164" fontId="0" fillId="0" borderId="21" xfId="0" applyNumberFormat="1" applyFill="1" applyBorder="1"/>
    <xf numFmtId="164" fontId="0" fillId="0" borderId="41" xfId="0" applyNumberFormat="1" applyFill="1" applyBorder="1"/>
    <xf numFmtId="164" fontId="0" fillId="0" borderId="13" xfId="0" applyNumberFormat="1" applyFill="1" applyBorder="1"/>
    <xf numFmtId="164" fontId="0" fillId="0" borderId="12" xfId="0" applyNumberFormat="1" applyFill="1" applyBorder="1"/>
    <xf numFmtId="164" fontId="0" fillId="0" borderId="39" xfId="0" applyNumberFormat="1" applyFill="1" applyBorder="1"/>
    <xf numFmtId="164" fontId="0" fillId="0" borderId="24" xfId="0" applyNumberFormat="1" applyFill="1" applyBorder="1"/>
    <xf numFmtId="164" fontId="0" fillId="0" borderId="30" xfId="0" applyNumberFormat="1" applyFill="1" applyBorder="1"/>
    <xf numFmtId="164" fontId="0" fillId="0" borderId="48" xfId="0" applyNumberFormat="1" applyFill="1" applyBorder="1"/>
    <xf numFmtId="164" fontId="0" fillId="0" borderId="26" xfId="0" applyNumberFormat="1" applyFill="1" applyBorder="1"/>
    <xf numFmtId="164" fontId="0" fillId="0" borderId="14" xfId="0" applyNumberFormat="1" applyFill="1" applyBorder="1"/>
    <xf numFmtId="164" fontId="0" fillId="0" borderId="15" xfId="0" applyNumberFormat="1" applyFill="1" applyBorder="1"/>
    <xf numFmtId="164" fontId="0" fillId="0" borderId="16" xfId="0" applyNumberFormat="1" applyFill="1" applyBorder="1"/>
    <xf numFmtId="164" fontId="0" fillId="0" borderId="45" xfId="0" applyNumberFormat="1" applyFill="1" applyBorder="1"/>
    <xf numFmtId="164" fontId="0" fillId="0" borderId="27" xfId="0" applyNumberFormat="1" applyFill="1" applyBorder="1"/>
    <xf numFmtId="164" fontId="0" fillId="0" borderId="40" xfId="0" applyNumberFormat="1" applyFill="1" applyBorder="1"/>
    <xf numFmtId="164" fontId="0" fillId="0" borderId="9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4" fontId="0" fillId="0" borderId="10" xfId="0" applyNumberFormat="1" applyFill="1" applyBorder="1"/>
    <xf numFmtId="164" fontId="0" fillId="0" borderId="28" xfId="0" applyNumberFormat="1" applyFill="1" applyBorder="1"/>
    <xf numFmtId="164" fontId="0" fillId="0" borderId="38" xfId="0" applyNumberFormat="1" applyFill="1" applyBorder="1"/>
    <xf numFmtId="164" fontId="0" fillId="0" borderId="11" xfId="0" applyNumberFormat="1" applyFill="1" applyBorder="1"/>
    <xf numFmtId="164" fontId="0" fillId="0" borderId="12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13" xfId="0" applyNumberFormat="1" applyFill="1" applyBorder="1" applyAlignment="1">
      <alignment horizontal="center"/>
    </xf>
    <xf numFmtId="0" fontId="0" fillId="0" borderId="22" xfId="0" applyFill="1" applyBorder="1"/>
    <xf numFmtId="0" fontId="2" fillId="0" borderId="34" xfId="0" applyFon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38" xfId="0" applyFill="1" applyBorder="1"/>
    <xf numFmtId="0" fontId="0" fillId="0" borderId="1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39" xfId="0" applyFill="1" applyBorder="1"/>
    <xf numFmtId="164" fontId="0" fillId="0" borderId="25" xfId="0" applyNumberFormat="1" applyFill="1" applyBorder="1"/>
    <xf numFmtId="164" fontId="0" fillId="0" borderId="29" xfId="0" applyNumberFormat="1" applyFill="1" applyBorder="1"/>
    <xf numFmtId="11" fontId="2" fillId="0" borderId="12" xfId="0" applyNumberFormat="1" applyFont="1" applyFill="1" applyBorder="1"/>
    <xf numFmtId="11" fontId="2" fillId="0" borderId="5" xfId="0" applyNumberFormat="1" applyFont="1" applyFill="1" applyBorder="1"/>
    <xf numFmtId="11" fontId="2" fillId="0" borderId="13" xfId="0" applyNumberFormat="1" applyFont="1" applyFill="1" applyBorder="1"/>
    <xf numFmtId="11" fontId="0" fillId="0" borderId="22" xfId="0" applyNumberFormat="1" applyFill="1" applyBorder="1"/>
    <xf numFmtId="11" fontId="0" fillId="0" borderId="5" xfId="0" applyNumberFormat="1" applyFill="1" applyBorder="1"/>
    <xf numFmtId="11" fontId="0" fillId="0" borderId="12" xfId="0" applyNumberFormat="1" applyFill="1" applyBorder="1"/>
    <xf numFmtId="11" fontId="0" fillId="0" borderId="13" xfId="0" applyNumberFormat="1" applyFill="1" applyBorder="1"/>
    <xf numFmtId="11" fontId="0" fillId="0" borderId="24" xfId="0" applyNumberFormat="1" applyFill="1" applyBorder="1"/>
    <xf numFmtId="11" fontId="0" fillId="0" borderId="25" xfId="0" applyNumberFormat="1" applyFill="1" applyBorder="1"/>
    <xf numFmtId="11" fontId="0" fillId="0" borderId="26" xfId="0" applyNumberFormat="1" applyFill="1" applyBorder="1"/>
    <xf numFmtId="11" fontId="0" fillId="0" borderId="49" xfId="0" applyNumberFormat="1" applyFill="1" applyBorder="1"/>
    <xf numFmtId="0" fontId="0" fillId="0" borderId="48" xfId="0" applyFill="1" applyBorder="1"/>
    <xf numFmtId="11" fontId="2" fillId="0" borderId="14" xfId="0" applyNumberFormat="1" applyFont="1" applyFill="1" applyBorder="1"/>
    <xf numFmtId="11" fontId="2" fillId="0" borderId="15" xfId="0" applyNumberFormat="1" applyFont="1" applyFill="1" applyBorder="1"/>
    <xf numFmtId="11" fontId="2" fillId="0" borderId="16" xfId="0" applyNumberFormat="1" applyFont="1" applyFill="1" applyBorder="1"/>
    <xf numFmtId="11" fontId="0" fillId="0" borderId="45" xfId="0" applyNumberFormat="1" applyFill="1" applyBorder="1"/>
    <xf numFmtId="11" fontId="0" fillId="0" borderId="15" xfId="0" applyNumberFormat="1" applyFill="1" applyBorder="1"/>
    <xf numFmtId="0" fontId="0" fillId="0" borderId="40" xfId="0" applyFill="1" applyBorder="1"/>
    <xf numFmtId="0" fontId="0" fillId="0" borderId="29" xfId="0" applyFill="1" applyBorder="1"/>
    <xf numFmtId="11" fontId="0" fillId="0" borderId="14" xfId="0" applyNumberFormat="1" applyFill="1" applyBorder="1"/>
    <xf numFmtId="11" fontId="0" fillId="0" borderId="16" xfId="0" applyNumberFormat="1" applyFill="1" applyBorder="1"/>
    <xf numFmtId="164" fontId="0" fillId="0" borderId="0" xfId="0" applyNumberFormat="1" applyFill="1"/>
    <xf numFmtId="0" fontId="0" fillId="0" borderId="28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164" fontId="0" fillId="0" borderId="31" xfId="0" applyNumberFormat="1" applyFill="1" applyBorder="1"/>
    <xf numFmtId="0" fontId="0" fillId="0" borderId="41" xfId="0" applyFill="1" applyBorder="1"/>
    <xf numFmtId="0" fontId="0" fillId="0" borderId="19" xfId="0" applyFill="1" applyBorder="1" applyAlignment="1">
      <alignment horizontal="center"/>
    </xf>
    <xf numFmtId="0" fontId="0" fillId="0" borderId="42" xfId="0" applyFill="1" applyBorder="1"/>
    <xf numFmtId="9" fontId="0" fillId="0" borderId="12" xfId="1" applyFont="1" applyFill="1" applyBorder="1"/>
    <xf numFmtId="9" fontId="0" fillId="0" borderId="13" xfId="1" applyFont="1" applyFill="1" applyBorder="1"/>
    <xf numFmtId="10" fontId="0" fillId="0" borderId="22" xfId="0" applyNumberFormat="1" applyFill="1" applyBorder="1"/>
    <xf numFmtId="10" fontId="0" fillId="0" borderId="5" xfId="0" applyNumberFormat="1" applyFill="1" applyBorder="1"/>
    <xf numFmtId="9" fontId="0" fillId="0" borderId="22" xfId="1" applyFont="1" applyFill="1" applyBorder="1"/>
    <xf numFmtId="10" fontId="0" fillId="0" borderId="49" xfId="0" applyNumberFormat="1" applyFill="1" applyBorder="1"/>
    <xf numFmtId="10" fontId="0" fillId="0" borderId="25" xfId="0" applyNumberFormat="1" applyFill="1" applyBorder="1"/>
    <xf numFmtId="9" fontId="0" fillId="0" borderId="14" xfId="1" applyFont="1" applyFill="1" applyBorder="1"/>
    <xf numFmtId="9" fontId="0" fillId="0" borderId="15" xfId="1" applyFont="1" applyFill="1" applyBorder="1"/>
    <xf numFmtId="10" fontId="0" fillId="0" borderId="45" xfId="0" applyNumberFormat="1" applyFill="1" applyBorder="1"/>
    <xf numFmtId="10" fontId="0" fillId="0" borderId="15" xfId="0" applyNumberFormat="1" applyFill="1" applyBorder="1"/>
    <xf numFmtId="9" fontId="0" fillId="0" borderId="45" xfId="1" applyFont="1" applyFill="1" applyBorder="1"/>
    <xf numFmtId="0" fontId="0" fillId="0" borderId="52" xfId="0" applyFill="1" applyBorder="1"/>
    <xf numFmtId="0" fontId="0" fillId="0" borderId="43" xfId="0" applyFill="1" applyBorder="1"/>
    <xf numFmtId="0" fontId="0" fillId="0" borderId="44" xfId="0" applyFill="1" applyBorder="1"/>
    <xf numFmtId="1" fontId="0" fillId="0" borderId="5" xfId="0" applyNumberFormat="1" applyFill="1" applyBorder="1"/>
    <xf numFmtId="2" fontId="0" fillId="0" borderId="5" xfId="0" applyNumberFormat="1" applyFill="1" applyBorder="1"/>
    <xf numFmtId="2" fontId="0" fillId="0" borderId="13" xfId="0" applyNumberFormat="1" applyFill="1" applyBorder="1"/>
    <xf numFmtId="2" fontId="0" fillId="0" borderId="19" xfId="0" applyNumberFormat="1" applyFill="1" applyBorder="1"/>
    <xf numFmtId="1" fontId="0" fillId="0" borderId="15" xfId="0" applyNumberFormat="1" applyFill="1" applyBorder="1"/>
    <xf numFmtId="2" fontId="0" fillId="0" borderId="15" xfId="0" applyNumberFormat="1" applyFill="1" applyBorder="1"/>
    <xf numFmtId="2" fontId="0" fillId="0" borderId="16" xfId="0" applyNumberFormat="1" applyFill="1" applyBorder="1"/>
    <xf numFmtId="0" fontId="0" fillId="0" borderId="14" xfId="0" applyFill="1" applyBorder="1" applyAlignment="1">
      <alignment vertical="center"/>
    </xf>
    <xf numFmtId="0" fontId="0" fillId="0" borderId="15" xfId="1" applyNumberFormat="1" applyFont="1" applyFill="1" applyBorder="1"/>
    <xf numFmtId="0" fontId="0" fillId="0" borderId="16" xfId="1" applyNumberFormat="1" applyFont="1" applyFill="1" applyBorder="1"/>
    <xf numFmtId="9" fontId="0" fillId="0" borderId="0" xfId="1" applyFont="1" applyFill="1"/>
    <xf numFmtId="9" fontId="0" fillId="0" borderId="42" xfId="1" applyFont="1" applyFill="1" applyBorder="1"/>
    <xf numFmtId="9" fontId="0" fillId="0" borderId="18" xfId="1" applyFont="1" applyFill="1" applyBorder="1"/>
    <xf numFmtId="9" fontId="0" fillId="0" borderId="19" xfId="1" applyFont="1" applyFill="1" applyBorder="1"/>
    <xf numFmtId="2" fontId="0" fillId="0" borderId="0" xfId="0" applyNumberFormat="1" applyFill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C87BC-922F-462E-B1D4-297B597E87F2}">
  <dimension ref="A1:AT78"/>
  <sheetViews>
    <sheetView tabSelected="1" topLeftCell="H1" zoomScale="18" zoomScaleNormal="40" workbookViewId="0">
      <selection activeCell="X106" sqref="X106"/>
    </sheetView>
  </sheetViews>
  <sheetFormatPr baseColWidth="10" defaultRowHeight="14.5" x14ac:dyDescent="0.35"/>
  <cols>
    <col min="1" max="1" width="13.08984375" bestFit="1" customWidth="1"/>
    <col min="2" max="2" width="16.54296875" bestFit="1" customWidth="1"/>
    <col min="3" max="3" width="15.453125" bestFit="1" customWidth="1"/>
    <col min="4" max="4" width="17.1796875" bestFit="1" customWidth="1"/>
    <col min="5" max="5" width="31" bestFit="1" customWidth="1"/>
    <col min="6" max="6" width="14.81640625" bestFit="1" customWidth="1"/>
    <col min="7" max="7" width="18.1796875" bestFit="1" customWidth="1"/>
    <col min="8" max="8" width="17.453125" bestFit="1" customWidth="1"/>
    <col min="9" max="9" width="16.1796875" bestFit="1" customWidth="1"/>
    <col min="10" max="10" width="23" customWidth="1"/>
    <col min="13" max="13" width="23.1796875" customWidth="1"/>
    <col min="16" max="16" width="21.81640625" customWidth="1"/>
    <col min="19" max="19" width="20.54296875" customWidth="1"/>
    <col min="22" max="22" width="21" customWidth="1"/>
    <col min="25" max="25" width="16.81640625" customWidth="1"/>
    <col min="32" max="32" width="21.1796875" customWidth="1"/>
    <col min="34" max="34" width="17.1796875" customWidth="1"/>
    <col min="37" max="37" width="15.08984375" customWidth="1"/>
    <col min="38" max="38" width="19" bestFit="1" customWidth="1"/>
    <col min="39" max="39" width="21.90625" customWidth="1"/>
    <col min="40" max="40" width="20.26953125" customWidth="1"/>
    <col min="41" max="41" width="21.36328125" customWidth="1"/>
    <col min="42" max="42" width="22.08984375" customWidth="1"/>
    <col min="43" max="43" width="18.81640625" customWidth="1"/>
    <col min="44" max="44" width="20.08984375" customWidth="1"/>
  </cols>
  <sheetData>
    <row r="1" spans="1:46" x14ac:dyDescent="0.35">
      <c r="B1" s="76" t="s">
        <v>32</v>
      </c>
      <c r="C1" s="77"/>
      <c r="D1" s="78"/>
      <c r="E1" s="79" t="s">
        <v>33</v>
      </c>
      <c r="F1" s="77"/>
      <c r="G1" s="80"/>
      <c r="H1" s="71" t="s">
        <v>34</v>
      </c>
      <c r="I1" s="67"/>
      <c r="J1" s="67"/>
      <c r="K1" s="67" t="s">
        <v>35</v>
      </c>
      <c r="L1" s="67"/>
      <c r="M1" s="68"/>
      <c r="N1" s="71" t="s">
        <v>36</v>
      </c>
      <c r="O1" s="67"/>
      <c r="P1" s="67"/>
      <c r="Q1" s="67" t="s">
        <v>37</v>
      </c>
      <c r="R1" s="67"/>
      <c r="S1" s="68"/>
      <c r="T1" s="76" t="s">
        <v>38</v>
      </c>
      <c r="U1" s="77"/>
      <c r="V1" s="78"/>
      <c r="W1" s="67" t="s">
        <v>39</v>
      </c>
      <c r="X1" s="67"/>
      <c r="Y1" s="68"/>
      <c r="Z1" s="71" t="s">
        <v>135</v>
      </c>
      <c r="AA1" s="67"/>
      <c r="AB1" s="67"/>
      <c r="AC1" s="67" t="s">
        <v>136</v>
      </c>
      <c r="AD1" s="67"/>
      <c r="AE1" s="68"/>
      <c r="AF1" s="76" t="s">
        <v>137</v>
      </c>
      <c r="AG1" s="77"/>
      <c r="AH1" s="78"/>
      <c r="AI1" s="79" t="s">
        <v>138</v>
      </c>
      <c r="AJ1" s="77"/>
      <c r="AK1" s="80"/>
      <c r="AL1" s="3"/>
      <c r="AM1" s="67" t="s">
        <v>40</v>
      </c>
      <c r="AN1" s="67"/>
      <c r="AO1" s="67"/>
      <c r="AP1" s="67" t="s">
        <v>41</v>
      </c>
      <c r="AQ1" s="67"/>
      <c r="AR1" s="68"/>
    </row>
    <row r="2" spans="1:46" x14ac:dyDescent="0.35">
      <c r="B2" s="81" t="s">
        <v>144</v>
      </c>
      <c r="C2" s="82"/>
      <c r="D2" s="83"/>
      <c r="E2" s="84" t="s">
        <v>144</v>
      </c>
      <c r="F2" s="82"/>
      <c r="G2" s="85"/>
      <c r="H2" s="75" t="s">
        <v>144</v>
      </c>
      <c r="I2" s="69"/>
      <c r="J2" s="69"/>
      <c r="K2" s="69" t="s">
        <v>144</v>
      </c>
      <c r="L2" s="69"/>
      <c r="M2" s="70"/>
      <c r="N2" s="75" t="s">
        <v>144</v>
      </c>
      <c r="O2" s="69"/>
      <c r="P2" s="69"/>
      <c r="Q2" s="69" t="s">
        <v>144</v>
      </c>
      <c r="R2" s="69"/>
      <c r="S2" s="70"/>
      <c r="T2" s="81" t="s">
        <v>144</v>
      </c>
      <c r="U2" s="82"/>
      <c r="V2" s="83"/>
      <c r="W2" s="69" t="s">
        <v>144</v>
      </c>
      <c r="X2" s="69"/>
      <c r="Y2" s="70"/>
      <c r="Z2" s="75" t="s">
        <v>144</v>
      </c>
      <c r="AA2" s="69"/>
      <c r="AB2" s="69"/>
      <c r="AC2" s="69" t="s">
        <v>144</v>
      </c>
      <c r="AD2" s="69"/>
      <c r="AE2" s="70"/>
      <c r="AF2" s="81" t="s">
        <v>144</v>
      </c>
      <c r="AG2" s="82"/>
      <c r="AH2" s="83"/>
      <c r="AI2" s="84" t="s">
        <v>144</v>
      </c>
      <c r="AJ2" s="82"/>
      <c r="AK2" s="85"/>
      <c r="AL2" s="17"/>
      <c r="AM2" s="69" t="s">
        <v>145</v>
      </c>
      <c r="AN2" s="69"/>
      <c r="AO2" s="69"/>
      <c r="AP2" s="69" t="s">
        <v>145</v>
      </c>
      <c r="AQ2" s="69"/>
      <c r="AR2" s="70"/>
    </row>
    <row r="3" spans="1:46" ht="15" thickBot="1" x14ac:dyDescent="0.4">
      <c r="A3" t="s">
        <v>44</v>
      </c>
      <c r="B3" s="18">
        <v>1</v>
      </c>
      <c r="C3" s="19">
        <v>2</v>
      </c>
      <c r="D3" s="19">
        <v>3</v>
      </c>
      <c r="E3" s="18">
        <v>1</v>
      </c>
      <c r="F3" s="19">
        <v>2</v>
      </c>
      <c r="G3" s="19">
        <v>3</v>
      </c>
      <c r="H3" s="18">
        <v>1</v>
      </c>
      <c r="I3" s="19">
        <v>2</v>
      </c>
      <c r="J3" s="19">
        <v>3</v>
      </c>
      <c r="K3" s="18">
        <v>1</v>
      </c>
      <c r="L3" s="19">
        <v>2</v>
      </c>
      <c r="M3" s="19">
        <v>3</v>
      </c>
      <c r="N3" s="18">
        <v>1</v>
      </c>
      <c r="O3" s="19">
        <v>2</v>
      </c>
      <c r="P3" s="19">
        <v>3</v>
      </c>
      <c r="Q3" s="18">
        <v>1</v>
      </c>
      <c r="R3" s="19">
        <v>2</v>
      </c>
      <c r="S3" s="19">
        <v>3</v>
      </c>
      <c r="T3" s="18">
        <v>1</v>
      </c>
      <c r="U3" s="19">
        <v>2</v>
      </c>
      <c r="V3" s="19">
        <v>3</v>
      </c>
      <c r="W3" s="18">
        <v>1</v>
      </c>
      <c r="X3" s="19">
        <v>2</v>
      </c>
      <c r="Y3" s="19">
        <v>3</v>
      </c>
      <c r="Z3" s="18">
        <v>1</v>
      </c>
      <c r="AA3" s="19">
        <v>2</v>
      </c>
      <c r="AB3" s="19">
        <v>3</v>
      </c>
      <c r="AC3" s="18">
        <v>1</v>
      </c>
      <c r="AD3" s="19">
        <v>2</v>
      </c>
      <c r="AE3" s="19">
        <v>3</v>
      </c>
      <c r="AF3" s="18">
        <v>1</v>
      </c>
      <c r="AG3" s="19">
        <v>2</v>
      </c>
      <c r="AH3" s="19">
        <v>3</v>
      </c>
      <c r="AI3" s="18">
        <v>1</v>
      </c>
      <c r="AJ3" s="19">
        <v>2</v>
      </c>
      <c r="AK3" s="19">
        <v>3</v>
      </c>
      <c r="AL3" s="18"/>
      <c r="AM3" s="18">
        <v>1</v>
      </c>
      <c r="AN3" s="19">
        <v>2</v>
      </c>
      <c r="AO3" s="19">
        <v>3</v>
      </c>
      <c r="AP3" s="18">
        <v>1</v>
      </c>
      <c r="AQ3" s="19">
        <v>2</v>
      </c>
      <c r="AR3" s="19">
        <v>3</v>
      </c>
    </row>
    <row r="4" spans="1:46" x14ac:dyDescent="0.35">
      <c r="A4" s="71" t="s">
        <v>141</v>
      </c>
      <c r="B4" s="3">
        <v>25.79</v>
      </c>
      <c r="C4" s="4">
        <v>26.6</v>
      </c>
      <c r="D4" s="4">
        <v>28.15</v>
      </c>
      <c r="E4" s="4">
        <v>26.31</v>
      </c>
      <c r="F4" s="4">
        <v>25.35</v>
      </c>
      <c r="G4" s="5">
        <v>28.17</v>
      </c>
      <c r="H4" s="3">
        <v>16.670000000000002</v>
      </c>
      <c r="I4" s="4">
        <v>18.670000000000002</v>
      </c>
      <c r="J4" s="4">
        <v>15.97</v>
      </c>
      <c r="K4" s="4">
        <v>15.38</v>
      </c>
      <c r="L4" s="4">
        <v>13.18</v>
      </c>
      <c r="M4" s="5">
        <v>16.309999999999999</v>
      </c>
      <c r="N4" s="3">
        <v>24.6</v>
      </c>
      <c r="O4" s="4">
        <v>14.86</v>
      </c>
      <c r="P4" s="4">
        <v>23.07</v>
      </c>
      <c r="Q4" s="4">
        <v>25.37</v>
      </c>
      <c r="R4" s="4">
        <v>21.94</v>
      </c>
      <c r="S4" s="5">
        <v>22.34</v>
      </c>
      <c r="T4" s="4">
        <v>19.010000000000002</v>
      </c>
      <c r="U4" s="4">
        <v>21.68</v>
      </c>
      <c r="V4" s="4">
        <v>20.86</v>
      </c>
      <c r="W4" s="4">
        <v>21.61</v>
      </c>
      <c r="X4" s="4">
        <v>22.59</v>
      </c>
      <c r="Y4" s="5">
        <v>22.99</v>
      </c>
      <c r="Z4" s="3">
        <v>23.67</v>
      </c>
      <c r="AA4" s="4">
        <v>21.23</v>
      </c>
      <c r="AB4" s="4">
        <v>17.440000000000001</v>
      </c>
      <c r="AC4" s="4">
        <v>18.3</v>
      </c>
      <c r="AD4" s="4">
        <v>19.55</v>
      </c>
      <c r="AE4" s="5">
        <v>16.45</v>
      </c>
      <c r="AF4" s="4">
        <v>32.79</v>
      </c>
      <c r="AG4" s="4">
        <v>26.84</v>
      </c>
      <c r="AH4" s="4">
        <v>29.94</v>
      </c>
      <c r="AI4" s="4">
        <v>12.49</v>
      </c>
      <c r="AJ4" s="4">
        <v>20.38</v>
      </c>
      <c r="AK4" s="4">
        <v>50.55</v>
      </c>
      <c r="AL4" s="3" t="s">
        <v>45</v>
      </c>
      <c r="AM4" s="4">
        <v>1329374.2538000001</v>
      </c>
      <c r="AN4" s="4">
        <v>1853287.3829999999</v>
      </c>
      <c r="AO4" s="4">
        <v>1200504.1392000001</v>
      </c>
      <c r="AP4" s="4">
        <v>447886.46529999998</v>
      </c>
      <c r="AQ4" s="4">
        <v>531922</v>
      </c>
      <c r="AR4" s="5">
        <v>722973</v>
      </c>
    </row>
    <row r="5" spans="1:46" x14ac:dyDescent="0.35">
      <c r="A5" s="72"/>
      <c r="B5" s="6">
        <v>26.03</v>
      </c>
      <c r="C5" s="2">
        <v>26.6</v>
      </c>
      <c r="D5" s="2">
        <v>26.5</v>
      </c>
      <c r="E5" s="2">
        <v>26.03</v>
      </c>
      <c r="F5" s="2">
        <v>24.79</v>
      </c>
      <c r="G5" s="7">
        <v>27.85</v>
      </c>
      <c r="H5" s="6">
        <v>15.34</v>
      </c>
      <c r="I5" s="2">
        <v>17.57</v>
      </c>
      <c r="J5" s="2">
        <v>16.22</v>
      </c>
      <c r="K5" s="2">
        <v>16.61</v>
      </c>
      <c r="L5" s="2">
        <v>13.43</v>
      </c>
      <c r="M5" s="105">
        <v>16.73</v>
      </c>
      <c r="N5" s="106">
        <v>24.58</v>
      </c>
      <c r="O5" s="107">
        <v>15.2</v>
      </c>
      <c r="P5" s="107">
        <v>23.15</v>
      </c>
      <c r="Q5" s="107">
        <v>24.91</v>
      </c>
      <c r="R5" s="107">
        <v>23.2</v>
      </c>
      <c r="S5" s="105">
        <v>23.66</v>
      </c>
      <c r="T5" s="107">
        <v>18.829999999999998</v>
      </c>
      <c r="U5" s="107">
        <v>22.77</v>
      </c>
      <c r="V5" s="107">
        <v>19.64</v>
      </c>
      <c r="W5" s="107">
        <v>21.18</v>
      </c>
      <c r="X5" s="107">
        <v>17.63</v>
      </c>
      <c r="Y5" s="105">
        <v>21.84</v>
      </c>
      <c r="Z5" s="106">
        <v>15.19</v>
      </c>
      <c r="AA5" s="107">
        <v>24.08</v>
      </c>
      <c r="AB5" s="107">
        <v>17.440000000000001</v>
      </c>
      <c r="AC5" s="107">
        <v>19.64</v>
      </c>
      <c r="AD5" s="107">
        <v>21.22</v>
      </c>
      <c r="AE5" s="105">
        <v>17.75</v>
      </c>
      <c r="AF5" s="107">
        <v>31.58</v>
      </c>
      <c r="AG5" s="107">
        <v>28.57</v>
      </c>
      <c r="AH5" s="107">
        <v>29.03</v>
      </c>
      <c r="AI5" s="107">
        <v>11.67</v>
      </c>
      <c r="AJ5" s="107">
        <v>18.05</v>
      </c>
      <c r="AK5" s="107">
        <v>56.65</v>
      </c>
      <c r="AL5" s="108" t="s">
        <v>46</v>
      </c>
      <c r="AM5" s="109">
        <f>729*139.514</f>
        <v>101705.70600000001</v>
      </c>
      <c r="AN5" s="109">
        <f>226.7213*1070</f>
        <v>242591.79100000003</v>
      </c>
      <c r="AO5" s="109">
        <f>495*186.1602</f>
        <v>92149.298999999999</v>
      </c>
      <c r="AP5" s="109">
        <f>982*77.8646</f>
        <v>76463.037199999992</v>
      </c>
      <c r="AQ5" s="109">
        <f>715*72.2476</f>
        <v>51657.034000000007</v>
      </c>
      <c r="AR5" s="110">
        <f>853*112.5006</f>
        <v>95963.011800000007</v>
      </c>
      <c r="AS5" s="111"/>
      <c r="AT5" s="111"/>
    </row>
    <row r="6" spans="1:46" x14ac:dyDescent="0.35">
      <c r="A6" s="72"/>
      <c r="B6" s="6">
        <v>24.58</v>
      </c>
      <c r="C6" s="2">
        <v>25.14</v>
      </c>
      <c r="D6" s="2">
        <v>26.89</v>
      </c>
      <c r="E6" s="2">
        <v>25.53</v>
      </c>
      <c r="F6" s="2">
        <v>24.04</v>
      </c>
      <c r="G6" s="7">
        <v>26.6</v>
      </c>
      <c r="H6" s="6">
        <v>15.38</v>
      </c>
      <c r="I6" s="2">
        <v>17.57</v>
      </c>
      <c r="J6" s="2">
        <v>15.32</v>
      </c>
      <c r="K6" s="2">
        <v>15.99</v>
      </c>
      <c r="L6" s="2">
        <v>14.47</v>
      </c>
      <c r="M6" s="105">
        <v>15.38</v>
      </c>
      <c r="N6" s="106">
        <v>24.06</v>
      </c>
      <c r="O6" s="107">
        <v>15.71</v>
      </c>
      <c r="P6" s="107">
        <v>24.39</v>
      </c>
      <c r="Q6" s="107">
        <v>26.35</v>
      </c>
      <c r="R6" s="107">
        <v>25.28</v>
      </c>
      <c r="S6" s="105">
        <v>22.46</v>
      </c>
      <c r="T6" s="107">
        <v>21.05</v>
      </c>
      <c r="U6" s="107">
        <v>19.77</v>
      </c>
      <c r="V6" s="107">
        <v>20.74</v>
      </c>
      <c r="W6" s="107">
        <v>20.87</v>
      </c>
      <c r="X6" s="107">
        <v>22.41</v>
      </c>
      <c r="Y6" s="105">
        <v>21.02</v>
      </c>
      <c r="Z6" s="106">
        <v>15.46</v>
      </c>
      <c r="AA6" s="107">
        <v>21.32</v>
      </c>
      <c r="AB6" s="107">
        <v>17.13</v>
      </c>
      <c r="AC6" s="107">
        <v>19.71</v>
      </c>
      <c r="AD6" s="107">
        <v>17.87</v>
      </c>
      <c r="AE6" s="105">
        <v>20.18</v>
      </c>
      <c r="AF6" s="107">
        <v>30.07</v>
      </c>
      <c r="AG6" s="107">
        <v>26.89</v>
      </c>
      <c r="AH6" s="107">
        <v>27.9</v>
      </c>
      <c r="AI6" s="107">
        <v>12.37</v>
      </c>
      <c r="AJ6" s="107">
        <v>17.64</v>
      </c>
      <c r="AK6" s="107">
        <v>54.87</v>
      </c>
      <c r="AL6" s="112"/>
      <c r="AM6" s="111"/>
      <c r="AN6" s="111"/>
      <c r="AO6" s="111"/>
      <c r="AP6" s="111"/>
      <c r="AQ6" s="111"/>
      <c r="AR6" s="113"/>
      <c r="AS6" s="111"/>
      <c r="AT6" s="111"/>
    </row>
    <row r="7" spans="1:46" x14ac:dyDescent="0.35">
      <c r="A7" s="72"/>
      <c r="B7" s="6">
        <v>26.28</v>
      </c>
      <c r="C7" s="2">
        <v>26.18</v>
      </c>
      <c r="D7" s="2">
        <v>28.12</v>
      </c>
      <c r="E7" s="2">
        <v>26.27</v>
      </c>
      <c r="F7" s="2">
        <v>23.53</v>
      </c>
      <c r="G7" s="7">
        <v>26.31</v>
      </c>
      <c r="H7" s="6">
        <v>16.010000000000002</v>
      </c>
      <c r="I7" s="2">
        <v>17.3</v>
      </c>
      <c r="J7" s="2">
        <v>12.63</v>
      </c>
      <c r="K7" s="2">
        <v>15.94</v>
      </c>
      <c r="L7" s="2">
        <v>11.97</v>
      </c>
      <c r="M7" s="105">
        <v>15.48</v>
      </c>
      <c r="N7" s="106">
        <v>24.36</v>
      </c>
      <c r="O7" s="107">
        <v>14.55</v>
      </c>
      <c r="P7" s="107">
        <v>25.45</v>
      </c>
      <c r="Q7" s="107">
        <v>21.87</v>
      </c>
      <c r="R7" s="107">
        <v>27.5</v>
      </c>
      <c r="S7" s="105">
        <v>21.79</v>
      </c>
      <c r="T7" s="107">
        <v>18.53</v>
      </c>
      <c r="U7" s="107">
        <v>20.79</v>
      </c>
      <c r="V7" s="107">
        <v>20.149999999999999</v>
      </c>
      <c r="W7" s="107">
        <v>17.87</v>
      </c>
      <c r="X7" s="107">
        <v>21.74</v>
      </c>
      <c r="Y7" s="105">
        <v>21.75</v>
      </c>
      <c r="Z7" s="106">
        <v>12.64</v>
      </c>
      <c r="AA7" s="107">
        <v>20.48</v>
      </c>
      <c r="AB7" s="107">
        <v>16.34</v>
      </c>
      <c r="AC7" s="107">
        <v>19.64</v>
      </c>
      <c r="AD7" s="107">
        <v>17.47</v>
      </c>
      <c r="AE7" s="105">
        <v>21.6</v>
      </c>
      <c r="AF7" s="107">
        <v>30.44</v>
      </c>
      <c r="AG7" s="107">
        <v>29</v>
      </c>
      <c r="AH7" s="107">
        <v>29.59</v>
      </c>
      <c r="AI7" s="107">
        <v>10.35</v>
      </c>
      <c r="AJ7" s="107">
        <v>17.07</v>
      </c>
      <c r="AK7" s="107">
        <v>49.54</v>
      </c>
      <c r="AL7" s="112"/>
      <c r="AM7" s="111"/>
      <c r="AN7" s="111"/>
      <c r="AO7" s="111"/>
      <c r="AP7" s="111"/>
      <c r="AQ7" s="111"/>
      <c r="AR7" s="113"/>
      <c r="AS7" s="111"/>
      <c r="AT7" s="111"/>
    </row>
    <row r="8" spans="1:46" x14ac:dyDescent="0.35">
      <c r="A8" s="72"/>
      <c r="B8" s="6">
        <v>26.83</v>
      </c>
      <c r="C8" s="2">
        <v>25.78</v>
      </c>
      <c r="D8" s="2">
        <v>26.94</v>
      </c>
      <c r="E8" s="2">
        <v>26.24</v>
      </c>
      <c r="F8" s="2">
        <v>24.05</v>
      </c>
      <c r="G8" s="7">
        <v>24.9</v>
      </c>
      <c r="H8" s="6">
        <v>14.46</v>
      </c>
      <c r="I8" s="2">
        <v>17.86</v>
      </c>
      <c r="J8" s="2">
        <v>14.86</v>
      </c>
      <c r="K8" s="2">
        <v>15.54</v>
      </c>
      <c r="L8" s="2">
        <v>14.48</v>
      </c>
      <c r="M8" s="105">
        <v>13.31</v>
      </c>
      <c r="N8" s="106">
        <v>24.43</v>
      </c>
      <c r="O8" s="107">
        <v>18.63</v>
      </c>
      <c r="P8" s="107">
        <v>26.27</v>
      </c>
      <c r="Q8" s="107">
        <v>20.72</v>
      </c>
      <c r="R8" s="107">
        <v>23.9</v>
      </c>
      <c r="S8" s="105">
        <v>17.96</v>
      </c>
      <c r="T8" s="107">
        <v>21.53</v>
      </c>
      <c r="U8" s="107">
        <v>20.309999999999999</v>
      </c>
      <c r="V8" s="107">
        <v>18.93</v>
      </c>
      <c r="W8" s="107">
        <v>21.76</v>
      </c>
      <c r="X8" s="107">
        <v>24.55</v>
      </c>
      <c r="Y8" s="105">
        <v>21</v>
      </c>
      <c r="Z8" s="106">
        <v>19.43</v>
      </c>
      <c r="AA8" s="107">
        <v>21.76</v>
      </c>
      <c r="AB8" s="107">
        <v>21.94</v>
      </c>
      <c r="AC8" s="107">
        <v>20.079999999999998</v>
      </c>
      <c r="AD8" s="107">
        <v>21.77</v>
      </c>
      <c r="AE8" s="105">
        <v>20.059999999999999</v>
      </c>
      <c r="AF8" s="107">
        <v>32.380000000000003</v>
      </c>
      <c r="AG8" s="107">
        <v>28.36</v>
      </c>
      <c r="AH8" s="107">
        <v>28.47</v>
      </c>
      <c r="AI8" s="107">
        <v>12.74</v>
      </c>
      <c r="AJ8" s="107">
        <v>22.59</v>
      </c>
      <c r="AK8" s="107">
        <v>55.49</v>
      </c>
      <c r="AL8" s="112"/>
      <c r="AM8" s="111"/>
      <c r="AN8" s="111"/>
      <c r="AO8" s="111"/>
      <c r="AP8" s="111"/>
      <c r="AQ8" s="111"/>
      <c r="AR8" s="113"/>
      <c r="AS8" s="111"/>
      <c r="AT8" s="111"/>
    </row>
    <row r="9" spans="1:46" ht="15" thickBot="1" x14ac:dyDescent="0.4">
      <c r="A9" s="73"/>
      <c r="B9" s="8">
        <v>26.98</v>
      </c>
      <c r="C9" s="9">
        <v>27.68</v>
      </c>
      <c r="D9" s="9">
        <v>27.05</v>
      </c>
      <c r="E9" s="9">
        <v>25.32</v>
      </c>
      <c r="F9" s="9">
        <v>23.16</v>
      </c>
      <c r="G9" s="10">
        <v>25.86</v>
      </c>
      <c r="H9" s="8">
        <v>15.03</v>
      </c>
      <c r="I9" s="9">
        <v>15.66</v>
      </c>
      <c r="J9" s="9">
        <v>14.45</v>
      </c>
      <c r="K9" s="9">
        <v>16.399999999999999</v>
      </c>
      <c r="L9" s="9">
        <v>13.46</v>
      </c>
      <c r="M9" s="114">
        <v>16.309999999999999</v>
      </c>
      <c r="N9" s="115">
        <v>24.33</v>
      </c>
      <c r="O9" s="116">
        <v>19.149999999999999</v>
      </c>
      <c r="P9" s="116">
        <v>23.11</v>
      </c>
      <c r="Q9" s="116">
        <v>23.1</v>
      </c>
      <c r="R9" s="116">
        <v>26.17</v>
      </c>
      <c r="S9" s="114">
        <v>17.899999999999999</v>
      </c>
      <c r="T9" s="116">
        <v>20.309999999999999</v>
      </c>
      <c r="U9" s="116">
        <v>20.96</v>
      </c>
      <c r="V9" s="116">
        <v>20.350000000000001</v>
      </c>
      <c r="W9" s="116">
        <v>17.59</v>
      </c>
      <c r="X9" s="116">
        <v>19.88</v>
      </c>
      <c r="Y9" s="114">
        <v>19.75</v>
      </c>
      <c r="Z9" s="115">
        <v>18.25</v>
      </c>
      <c r="AA9" s="116">
        <v>19.329999999999998</v>
      </c>
      <c r="AB9" s="116">
        <v>22.98</v>
      </c>
      <c r="AC9" s="116">
        <v>17.47</v>
      </c>
      <c r="AD9" s="116">
        <v>18.61</v>
      </c>
      <c r="AE9" s="114">
        <v>20.55</v>
      </c>
      <c r="AF9" s="116">
        <v>33.33</v>
      </c>
      <c r="AG9" s="116">
        <v>29.95</v>
      </c>
      <c r="AH9" s="116">
        <v>31.81</v>
      </c>
      <c r="AI9" s="116">
        <v>10.119999999999999</v>
      </c>
      <c r="AJ9" s="116">
        <v>22.07</v>
      </c>
      <c r="AK9" s="116">
        <v>51.41</v>
      </c>
      <c r="AL9" s="117"/>
      <c r="AM9" s="118"/>
      <c r="AN9" s="118"/>
      <c r="AO9" s="118"/>
      <c r="AP9" s="118"/>
      <c r="AQ9" s="118"/>
      <c r="AR9" s="119"/>
      <c r="AS9" s="111"/>
      <c r="AT9" s="111"/>
    </row>
    <row r="10" spans="1:46" x14ac:dyDescent="0.35">
      <c r="A10" s="71" t="s">
        <v>140</v>
      </c>
      <c r="B10" s="3">
        <v>27.38</v>
      </c>
      <c r="C10" s="4">
        <v>26.11</v>
      </c>
      <c r="D10" s="4">
        <v>23.02</v>
      </c>
      <c r="E10" s="4">
        <v>23.58</v>
      </c>
      <c r="F10" s="4">
        <v>25.62</v>
      </c>
      <c r="G10" s="5">
        <v>22.4</v>
      </c>
      <c r="H10" s="3">
        <v>15.37</v>
      </c>
      <c r="I10" s="4">
        <v>18.600000000000001</v>
      </c>
      <c r="J10" s="4">
        <v>15.6</v>
      </c>
      <c r="K10" s="4">
        <v>12.9</v>
      </c>
      <c r="L10" s="4">
        <v>17.28</v>
      </c>
      <c r="M10" s="120">
        <v>16.47</v>
      </c>
      <c r="N10" s="121">
        <v>29.83</v>
      </c>
      <c r="O10" s="122">
        <v>20.11</v>
      </c>
      <c r="P10" s="122">
        <v>24.98</v>
      </c>
      <c r="Q10" s="122">
        <v>29.31</v>
      </c>
      <c r="R10" s="122">
        <v>15.79</v>
      </c>
      <c r="S10" s="120">
        <v>20.81</v>
      </c>
      <c r="T10" s="122">
        <v>18.63</v>
      </c>
      <c r="U10" s="122">
        <v>17.399999999999999</v>
      </c>
      <c r="V10" s="122">
        <v>19.489999999999998</v>
      </c>
      <c r="W10" s="122">
        <v>18.600000000000001</v>
      </c>
      <c r="X10" s="122">
        <v>21.42</v>
      </c>
      <c r="Y10" s="120">
        <v>20.51</v>
      </c>
      <c r="Z10" s="121">
        <v>20.02</v>
      </c>
      <c r="AA10" s="122">
        <v>24.26</v>
      </c>
      <c r="AB10" s="122">
        <v>28.79</v>
      </c>
      <c r="AC10" s="122">
        <v>11.91</v>
      </c>
      <c r="AD10" s="122">
        <v>12.31</v>
      </c>
      <c r="AE10" s="120">
        <v>20.14</v>
      </c>
      <c r="AF10" s="121">
        <v>27.06</v>
      </c>
      <c r="AG10" s="122">
        <v>29</v>
      </c>
      <c r="AH10" s="122">
        <v>30.06</v>
      </c>
      <c r="AI10" s="122"/>
      <c r="AJ10" s="122"/>
      <c r="AK10" s="123"/>
      <c r="AL10" s="121" t="s">
        <v>45</v>
      </c>
      <c r="AM10" s="122">
        <f>396505.1212*4</f>
        <v>1586020.4848</v>
      </c>
      <c r="AN10" s="122">
        <v>1160993.8637000001</v>
      </c>
      <c r="AO10" s="122">
        <v>1099250.5992999999</v>
      </c>
      <c r="AP10" s="122">
        <v>467141</v>
      </c>
      <c r="AQ10" s="122">
        <v>370665</v>
      </c>
      <c r="AR10" s="120">
        <f>790797.3926+303453.1659</f>
        <v>1094250.5585</v>
      </c>
      <c r="AS10" s="111"/>
      <c r="AT10" s="111"/>
    </row>
    <row r="11" spans="1:46" x14ac:dyDescent="0.35">
      <c r="A11" s="72"/>
      <c r="B11" s="6">
        <v>27.46</v>
      </c>
      <c r="C11" s="2">
        <v>25.09</v>
      </c>
      <c r="D11" s="2">
        <v>22.15</v>
      </c>
      <c r="E11" s="2">
        <v>24.07</v>
      </c>
      <c r="F11" s="2">
        <v>26.1</v>
      </c>
      <c r="G11" s="7">
        <v>21.77</v>
      </c>
      <c r="H11" s="6">
        <v>15.22</v>
      </c>
      <c r="I11" s="2">
        <v>16.329999999999998</v>
      </c>
      <c r="J11" s="2">
        <v>16.579999999999998</v>
      </c>
      <c r="K11" s="2">
        <v>14.83</v>
      </c>
      <c r="L11" s="2">
        <v>12.81</v>
      </c>
      <c r="M11" s="105">
        <v>15.62</v>
      </c>
      <c r="N11" s="106">
        <v>29.3</v>
      </c>
      <c r="O11" s="107">
        <v>19.649999999999999</v>
      </c>
      <c r="P11" s="107">
        <v>25.13</v>
      </c>
      <c r="Q11" s="107">
        <v>22.46</v>
      </c>
      <c r="R11" s="107">
        <v>17.36</v>
      </c>
      <c r="S11" s="105">
        <v>21.32</v>
      </c>
      <c r="T11" s="107">
        <v>17.93</v>
      </c>
      <c r="U11" s="107">
        <v>20.84</v>
      </c>
      <c r="V11" s="107">
        <v>20.87</v>
      </c>
      <c r="W11" s="107">
        <v>16.96</v>
      </c>
      <c r="X11" s="107">
        <v>21.76</v>
      </c>
      <c r="Y11" s="105">
        <v>19.18</v>
      </c>
      <c r="Z11" s="106">
        <v>18.84</v>
      </c>
      <c r="AA11" s="107">
        <v>19.489999999999998</v>
      </c>
      <c r="AB11" s="107">
        <v>23.89</v>
      </c>
      <c r="AC11" s="107">
        <v>13.33</v>
      </c>
      <c r="AD11" s="107">
        <v>13.41</v>
      </c>
      <c r="AE11" s="105">
        <v>13.99</v>
      </c>
      <c r="AF11" s="106">
        <v>27.44</v>
      </c>
      <c r="AG11" s="107">
        <v>29.01</v>
      </c>
      <c r="AH11" s="107">
        <v>29.17</v>
      </c>
      <c r="AI11" s="107"/>
      <c r="AJ11" s="107"/>
      <c r="AK11" s="124"/>
      <c r="AL11" s="108" t="s">
        <v>46</v>
      </c>
      <c r="AM11" s="109">
        <f>168*543.3089</f>
        <v>91275.895199999999</v>
      </c>
      <c r="AN11" s="109">
        <f>91*485.74</f>
        <v>44202.340000000004</v>
      </c>
      <c r="AO11" s="109">
        <f>138.1618*586</f>
        <v>80962.814799999993</v>
      </c>
      <c r="AP11" s="109">
        <f>391*144.3478</f>
        <v>56439.989800000003</v>
      </c>
      <c r="AQ11" s="109">
        <f>151*57.5629</f>
        <v>8691.9979000000003</v>
      </c>
      <c r="AR11" s="110">
        <f>569*142.2302</f>
        <v>80928.983800000002</v>
      </c>
      <c r="AS11" s="111"/>
      <c r="AT11" s="111"/>
    </row>
    <row r="12" spans="1:46" x14ac:dyDescent="0.35">
      <c r="A12" s="72"/>
      <c r="B12" s="6">
        <v>26.01</v>
      </c>
      <c r="C12" s="2">
        <v>27.34</v>
      </c>
      <c r="D12" s="2">
        <v>21.74</v>
      </c>
      <c r="E12" s="2">
        <v>23.44</v>
      </c>
      <c r="F12" s="2">
        <v>25.01</v>
      </c>
      <c r="G12" s="7">
        <v>21.6</v>
      </c>
      <c r="H12" s="6">
        <v>14.16</v>
      </c>
      <c r="I12" s="2">
        <v>17.190000000000001</v>
      </c>
      <c r="J12" s="2">
        <v>14.62</v>
      </c>
      <c r="K12" s="2">
        <v>13.46</v>
      </c>
      <c r="L12" s="2">
        <v>14.42</v>
      </c>
      <c r="M12" s="105">
        <v>15.97</v>
      </c>
      <c r="N12" s="106">
        <v>30.77</v>
      </c>
      <c r="O12" s="107">
        <v>19.649999999999999</v>
      </c>
      <c r="P12" s="107">
        <v>24.58</v>
      </c>
      <c r="Q12" s="107">
        <v>25.83</v>
      </c>
      <c r="R12" s="107">
        <v>17.899999999999999</v>
      </c>
      <c r="S12" s="105">
        <v>23.24</v>
      </c>
      <c r="T12" s="107">
        <v>19.04</v>
      </c>
      <c r="U12" s="107">
        <v>19.57</v>
      </c>
      <c r="V12" s="107">
        <v>21.74</v>
      </c>
      <c r="W12" s="107">
        <v>19.5</v>
      </c>
      <c r="X12" s="107">
        <v>22.28</v>
      </c>
      <c r="Y12" s="105">
        <v>23.25</v>
      </c>
      <c r="Z12" s="106">
        <v>18.8</v>
      </c>
      <c r="AA12" s="107">
        <v>19.18</v>
      </c>
      <c r="AB12" s="107">
        <v>21.62</v>
      </c>
      <c r="AC12" s="107">
        <v>12.74</v>
      </c>
      <c r="AD12" s="107">
        <v>13.14</v>
      </c>
      <c r="AE12" s="105">
        <v>15.09</v>
      </c>
      <c r="AF12" s="106">
        <v>25.61</v>
      </c>
      <c r="AG12" s="107">
        <v>27.1</v>
      </c>
      <c r="AH12" s="107">
        <v>29.88</v>
      </c>
      <c r="AI12" s="107"/>
      <c r="AJ12" s="107"/>
      <c r="AK12" s="124"/>
      <c r="AL12" s="112"/>
      <c r="AM12" s="111"/>
      <c r="AN12" s="111"/>
      <c r="AO12" s="111"/>
      <c r="AP12" s="111"/>
      <c r="AQ12" s="111"/>
      <c r="AR12" s="113"/>
      <c r="AS12" s="111"/>
      <c r="AT12" s="111"/>
    </row>
    <row r="13" spans="1:46" x14ac:dyDescent="0.35">
      <c r="A13" s="72"/>
      <c r="B13" s="6">
        <v>25.54</v>
      </c>
      <c r="C13" s="2">
        <v>25.05</v>
      </c>
      <c r="D13" s="2">
        <v>21.44</v>
      </c>
      <c r="E13" s="2">
        <v>23.73</v>
      </c>
      <c r="F13" s="2">
        <v>25.81</v>
      </c>
      <c r="G13" s="7">
        <v>20.11</v>
      </c>
      <c r="H13" s="6">
        <v>15.34</v>
      </c>
      <c r="I13" s="2">
        <v>17.899999999999999</v>
      </c>
      <c r="J13" s="2">
        <v>18.71</v>
      </c>
      <c r="K13" s="2">
        <v>15.1</v>
      </c>
      <c r="L13" s="2">
        <v>15.93</v>
      </c>
      <c r="M13" s="105">
        <v>16.940000000000001</v>
      </c>
      <c r="N13" s="106">
        <v>30.88</v>
      </c>
      <c r="O13" s="107">
        <v>19.77</v>
      </c>
      <c r="P13" s="107">
        <v>23.43</v>
      </c>
      <c r="Q13" s="107">
        <v>23.54</v>
      </c>
      <c r="R13" s="107">
        <v>19.22</v>
      </c>
      <c r="S13" s="105">
        <v>21.41</v>
      </c>
      <c r="T13" s="107">
        <v>21.7</v>
      </c>
      <c r="U13" s="107">
        <v>20.260000000000002</v>
      </c>
      <c r="V13" s="107">
        <v>21.71</v>
      </c>
      <c r="W13" s="107">
        <v>19.18</v>
      </c>
      <c r="X13" s="107">
        <v>19.77</v>
      </c>
      <c r="Y13" s="105">
        <v>19.579999999999998</v>
      </c>
      <c r="Z13" s="106">
        <v>17.43</v>
      </c>
      <c r="AA13" s="107">
        <v>16.73</v>
      </c>
      <c r="AB13" s="107">
        <v>21.05</v>
      </c>
      <c r="AC13" s="107">
        <v>12.16</v>
      </c>
      <c r="AD13" s="107">
        <v>11.2</v>
      </c>
      <c r="AE13" s="105">
        <v>13.6</v>
      </c>
      <c r="AF13" s="106">
        <v>24.6</v>
      </c>
      <c r="AG13" s="107">
        <v>31.02</v>
      </c>
      <c r="AH13" s="107">
        <v>28.75</v>
      </c>
      <c r="AI13" s="107"/>
      <c r="AJ13" s="107"/>
      <c r="AK13" s="124"/>
      <c r="AL13" s="112"/>
      <c r="AM13" s="111"/>
      <c r="AN13" s="111"/>
      <c r="AO13" s="111"/>
      <c r="AP13" s="111"/>
      <c r="AQ13" s="111"/>
      <c r="AR13" s="113"/>
      <c r="AS13" s="111"/>
      <c r="AT13" s="111"/>
    </row>
    <row r="14" spans="1:46" x14ac:dyDescent="0.35">
      <c r="A14" s="72"/>
      <c r="B14" s="6">
        <v>28.22</v>
      </c>
      <c r="C14" s="2">
        <v>25.04</v>
      </c>
      <c r="D14" s="2">
        <v>21.36</v>
      </c>
      <c r="E14" s="2">
        <v>23.76</v>
      </c>
      <c r="F14" s="2">
        <v>25.64</v>
      </c>
      <c r="G14" s="7">
        <v>20.440000000000001</v>
      </c>
      <c r="H14" s="6">
        <v>12.94</v>
      </c>
      <c r="I14" s="2">
        <v>18.25</v>
      </c>
      <c r="J14" s="2">
        <v>16.7</v>
      </c>
      <c r="K14" s="2">
        <v>14.83</v>
      </c>
      <c r="L14" s="2">
        <v>14.09</v>
      </c>
      <c r="M14" s="105">
        <v>15.34</v>
      </c>
      <c r="N14" s="106">
        <v>30.53</v>
      </c>
      <c r="O14" s="107">
        <v>17.260000000000002</v>
      </c>
      <c r="P14" s="107">
        <v>27.12</v>
      </c>
      <c r="Q14" s="107">
        <v>19.600000000000001</v>
      </c>
      <c r="R14" s="107">
        <v>16.03</v>
      </c>
      <c r="S14" s="105">
        <v>27.48</v>
      </c>
      <c r="T14" s="107">
        <v>18.559999999999999</v>
      </c>
      <c r="U14" s="107">
        <v>20.98</v>
      </c>
      <c r="V14" s="107">
        <v>22.06</v>
      </c>
      <c r="W14" s="107">
        <v>16.93</v>
      </c>
      <c r="X14" s="107">
        <v>21.6</v>
      </c>
      <c r="Y14" s="105">
        <v>19.13</v>
      </c>
      <c r="Z14" s="106">
        <v>24.31</v>
      </c>
      <c r="AA14" s="107">
        <v>18.760000000000002</v>
      </c>
      <c r="AB14" s="107">
        <v>17.07</v>
      </c>
      <c r="AC14" s="107">
        <v>13.56</v>
      </c>
      <c r="AD14" s="107">
        <v>10.94</v>
      </c>
      <c r="AE14" s="105">
        <v>13.73</v>
      </c>
      <c r="AF14" s="106">
        <v>28.1</v>
      </c>
      <c r="AG14" s="107">
        <v>30.11</v>
      </c>
      <c r="AH14" s="107">
        <v>28.99</v>
      </c>
      <c r="AI14" s="107"/>
      <c r="AJ14" s="107"/>
      <c r="AK14" s="124"/>
      <c r="AL14" s="112"/>
      <c r="AM14" s="111"/>
      <c r="AN14" s="111"/>
      <c r="AO14" s="111"/>
      <c r="AP14" s="111"/>
      <c r="AQ14" s="111"/>
      <c r="AR14" s="113"/>
      <c r="AS14" s="111"/>
      <c r="AT14" s="111"/>
    </row>
    <row r="15" spans="1:46" ht="15" thickBot="1" x14ac:dyDescent="0.4">
      <c r="A15" s="73"/>
      <c r="B15" s="8">
        <v>26.9</v>
      </c>
      <c r="C15" s="9">
        <v>25.07</v>
      </c>
      <c r="D15" s="9">
        <v>21.52</v>
      </c>
      <c r="E15" s="9">
        <v>24.56</v>
      </c>
      <c r="F15" s="9">
        <v>26.43</v>
      </c>
      <c r="G15" s="10">
        <v>21.08</v>
      </c>
      <c r="H15" s="8">
        <v>15.64</v>
      </c>
      <c r="I15" s="9">
        <v>17.2</v>
      </c>
      <c r="J15" s="9">
        <v>17.39</v>
      </c>
      <c r="K15" s="9">
        <v>15.39</v>
      </c>
      <c r="L15" s="9">
        <v>14.25</v>
      </c>
      <c r="M15" s="114">
        <v>14.45</v>
      </c>
      <c r="N15" s="115">
        <v>28.54</v>
      </c>
      <c r="O15" s="116">
        <v>18.34</v>
      </c>
      <c r="P15" s="116">
        <v>25.41</v>
      </c>
      <c r="Q15" s="116">
        <v>18.149999999999999</v>
      </c>
      <c r="R15" s="116">
        <v>16.989999999999998</v>
      </c>
      <c r="S15" s="114">
        <v>25.92</v>
      </c>
      <c r="T15" s="116">
        <v>21.64</v>
      </c>
      <c r="U15" s="116">
        <v>19.579999999999998</v>
      </c>
      <c r="V15" s="116">
        <v>18.309999999999999</v>
      </c>
      <c r="W15" s="116">
        <v>17.37</v>
      </c>
      <c r="X15" s="116">
        <v>21.34</v>
      </c>
      <c r="Y15" s="114">
        <v>20.329999999999998</v>
      </c>
      <c r="Z15" s="108">
        <v>23.79</v>
      </c>
      <c r="AA15" s="109">
        <v>15.55</v>
      </c>
      <c r="AB15" s="109">
        <v>18.34</v>
      </c>
      <c r="AC15" s="109">
        <v>10.72</v>
      </c>
      <c r="AD15" s="109">
        <v>11.35</v>
      </c>
      <c r="AE15" s="110">
        <v>11.82</v>
      </c>
      <c r="AF15" s="115">
        <v>25.9</v>
      </c>
      <c r="AG15" s="116">
        <v>28.14</v>
      </c>
      <c r="AH15" s="116">
        <v>29.44</v>
      </c>
      <c r="AI15" s="116"/>
      <c r="AJ15" s="116"/>
      <c r="AK15" s="125"/>
      <c r="AL15" s="117"/>
      <c r="AM15" s="118"/>
      <c r="AN15" s="118"/>
      <c r="AO15" s="118"/>
      <c r="AP15" s="118"/>
      <c r="AQ15" s="118"/>
      <c r="AR15" s="119"/>
      <c r="AS15" s="111"/>
      <c r="AT15" s="111"/>
    </row>
    <row r="16" spans="1:46" x14ac:dyDescent="0.35">
      <c r="A16" s="71" t="s">
        <v>139</v>
      </c>
      <c r="B16" s="3">
        <v>25.09</v>
      </c>
      <c r="C16" s="4">
        <v>27.47</v>
      </c>
      <c r="D16" s="4">
        <v>23.61</v>
      </c>
      <c r="E16" s="4">
        <v>26.36</v>
      </c>
      <c r="F16" s="4">
        <v>23.63</v>
      </c>
      <c r="G16" s="5">
        <v>23.24</v>
      </c>
      <c r="H16" s="3">
        <v>16.91</v>
      </c>
      <c r="I16" s="4">
        <v>20.49</v>
      </c>
      <c r="J16" s="4">
        <v>14.7</v>
      </c>
      <c r="K16" s="4">
        <v>14.59</v>
      </c>
      <c r="L16" s="4">
        <v>16.649999999999999</v>
      </c>
      <c r="M16" s="120">
        <v>14.9</v>
      </c>
      <c r="N16" s="121">
        <v>20.010000000000002</v>
      </c>
      <c r="O16" s="122">
        <v>24.09</v>
      </c>
      <c r="P16" s="122">
        <v>21.43</v>
      </c>
      <c r="Q16" s="122">
        <v>22.23</v>
      </c>
      <c r="R16" s="122">
        <v>26.8</v>
      </c>
      <c r="S16" s="120">
        <v>21.95</v>
      </c>
      <c r="T16" s="122">
        <v>23.02</v>
      </c>
      <c r="U16" s="122">
        <v>19.079999999999998</v>
      </c>
      <c r="V16" s="122">
        <v>20.57</v>
      </c>
      <c r="W16" s="122">
        <v>19.61</v>
      </c>
      <c r="X16" s="122">
        <v>19.8</v>
      </c>
      <c r="Y16" s="123">
        <v>18.28</v>
      </c>
      <c r="Z16" s="121">
        <v>11.47</v>
      </c>
      <c r="AA16" s="122">
        <v>10.130000000000001</v>
      </c>
      <c r="AB16" s="122">
        <v>11.08</v>
      </c>
      <c r="AC16" s="122">
        <v>11.2</v>
      </c>
      <c r="AD16" s="122">
        <v>10.44</v>
      </c>
      <c r="AE16" s="120">
        <v>9.84</v>
      </c>
      <c r="AF16" s="121">
        <v>33.840000000000003</v>
      </c>
      <c r="AG16" s="122">
        <v>37.67</v>
      </c>
      <c r="AH16" s="122">
        <v>40.36</v>
      </c>
      <c r="AI16" s="122"/>
      <c r="AJ16" s="122">
        <v>12.91</v>
      </c>
      <c r="AK16" s="123">
        <v>12.53</v>
      </c>
      <c r="AL16" s="121" t="s">
        <v>45</v>
      </c>
      <c r="AM16" s="122">
        <v>1108447.6843999999</v>
      </c>
      <c r="AN16" s="122">
        <v>1279952.5817</v>
      </c>
      <c r="AO16" s="122">
        <v>2738312.1230000001</v>
      </c>
      <c r="AP16" s="122"/>
      <c r="AQ16" s="122"/>
      <c r="AR16" s="120"/>
      <c r="AS16" s="111"/>
      <c r="AT16" s="111"/>
    </row>
    <row r="17" spans="1:46" x14ac:dyDescent="0.35">
      <c r="A17" s="72"/>
      <c r="B17" s="6">
        <v>24.89</v>
      </c>
      <c r="C17" s="2">
        <v>27.5</v>
      </c>
      <c r="D17" s="2">
        <v>22.87</v>
      </c>
      <c r="E17" s="2">
        <v>26.24</v>
      </c>
      <c r="F17" s="2">
        <v>24.17</v>
      </c>
      <c r="G17" s="7">
        <v>23.6</v>
      </c>
      <c r="H17" s="6">
        <v>17.09</v>
      </c>
      <c r="I17" s="2">
        <v>17.190000000000001</v>
      </c>
      <c r="J17" s="2">
        <v>15.36</v>
      </c>
      <c r="K17" s="2">
        <v>16.21</v>
      </c>
      <c r="L17" s="2">
        <v>14.36</v>
      </c>
      <c r="M17" s="105">
        <v>14.27</v>
      </c>
      <c r="N17" s="106">
        <v>22.31</v>
      </c>
      <c r="O17" s="107">
        <v>24.59</v>
      </c>
      <c r="P17" s="107">
        <v>21.16</v>
      </c>
      <c r="Q17" s="107">
        <v>20.61</v>
      </c>
      <c r="R17" s="107">
        <v>26.02</v>
      </c>
      <c r="S17" s="105">
        <v>21.26</v>
      </c>
      <c r="T17" s="107">
        <v>19.77</v>
      </c>
      <c r="U17" s="107">
        <v>20.149999999999999</v>
      </c>
      <c r="V17" s="107">
        <v>20.5</v>
      </c>
      <c r="W17" s="107">
        <v>18.559999999999999</v>
      </c>
      <c r="X17" s="107">
        <v>19.12</v>
      </c>
      <c r="Y17" s="124">
        <v>21.26</v>
      </c>
      <c r="Z17" s="106">
        <v>11.79</v>
      </c>
      <c r="AA17" s="107">
        <v>10.91</v>
      </c>
      <c r="AB17" s="107">
        <v>11.28</v>
      </c>
      <c r="AC17" s="107">
        <v>11.12</v>
      </c>
      <c r="AD17" s="107">
        <v>10.83</v>
      </c>
      <c r="AE17" s="105">
        <v>11.44</v>
      </c>
      <c r="AF17" s="106">
        <v>38.74</v>
      </c>
      <c r="AG17" s="107">
        <v>37.130000000000003</v>
      </c>
      <c r="AH17" s="107">
        <v>39.090000000000003</v>
      </c>
      <c r="AI17" s="107"/>
      <c r="AJ17" s="107">
        <v>15.78</v>
      </c>
      <c r="AK17" s="124">
        <v>12.94</v>
      </c>
      <c r="AL17" s="108" t="s">
        <v>46</v>
      </c>
      <c r="AM17" s="109">
        <f>479*104.9186</f>
        <v>50256.009399999995</v>
      </c>
      <c r="AN17" s="109">
        <f>102.6369*570</f>
        <v>58503.032999999996</v>
      </c>
      <c r="AO17" s="109">
        <f>525.2162*336</f>
        <v>176472.64319999999</v>
      </c>
      <c r="AP17" s="109"/>
      <c r="AQ17" s="109"/>
      <c r="AR17" s="110"/>
      <c r="AS17" s="111"/>
      <c r="AT17" s="111"/>
    </row>
    <row r="18" spans="1:46" x14ac:dyDescent="0.35">
      <c r="A18" s="72"/>
      <c r="B18" s="6">
        <v>24.25</v>
      </c>
      <c r="C18" s="2">
        <v>27.94</v>
      </c>
      <c r="D18" s="2">
        <v>23.22</v>
      </c>
      <c r="E18" s="2">
        <v>24.45</v>
      </c>
      <c r="F18" s="2">
        <v>23.27</v>
      </c>
      <c r="G18" s="7">
        <v>23.12</v>
      </c>
      <c r="H18" s="6">
        <v>15.05</v>
      </c>
      <c r="I18" s="2">
        <v>21.12</v>
      </c>
      <c r="J18" s="2">
        <v>15.43</v>
      </c>
      <c r="K18" s="2">
        <v>14.76</v>
      </c>
      <c r="L18" s="2">
        <v>13.43</v>
      </c>
      <c r="M18" s="105">
        <v>14.94</v>
      </c>
      <c r="N18" s="106">
        <v>20.07</v>
      </c>
      <c r="O18" s="107">
        <v>24.23</v>
      </c>
      <c r="P18" s="107">
        <v>20.350000000000001</v>
      </c>
      <c r="Q18" s="107">
        <v>18.739999999999998</v>
      </c>
      <c r="R18" s="107">
        <v>19.2</v>
      </c>
      <c r="S18" s="105">
        <v>23.27</v>
      </c>
      <c r="T18" s="107">
        <v>21.58</v>
      </c>
      <c r="U18" s="107">
        <v>19.7</v>
      </c>
      <c r="V18" s="107">
        <v>19.13</v>
      </c>
      <c r="W18" s="107">
        <v>19.399999999999999</v>
      </c>
      <c r="X18" s="107">
        <v>18.59</v>
      </c>
      <c r="Y18" s="124">
        <v>17.91</v>
      </c>
      <c r="Z18" s="106">
        <v>11.55</v>
      </c>
      <c r="AA18" s="107">
        <v>10</v>
      </c>
      <c r="AB18" s="107">
        <v>10.67</v>
      </c>
      <c r="AC18" s="107">
        <v>11.2</v>
      </c>
      <c r="AD18" s="107">
        <v>11.27</v>
      </c>
      <c r="AE18" s="105">
        <v>9.77</v>
      </c>
      <c r="AF18" s="106">
        <v>38.869999999999997</v>
      </c>
      <c r="AG18" s="107">
        <v>33.94</v>
      </c>
      <c r="AH18" s="107">
        <v>36.76</v>
      </c>
      <c r="AI18" s="107"/>
      <c r="AJ18" s="107">
        <v>16.45</v>
      </c>
      <c r="AK18" s="124">
        <v>11.79</v>
      </c>
      <c r="AL18" s="112"/>
      <c r="AM18" s="111"/>
      <c r="AN18" s="111"/>
      <c r="AO18" s="111"/>
      <c r="AP18" s="111"/>
      <c r="AQ18" s="111"/>
      <c r="AR18" s="113"/>
      <c r="AS18" s="111"/>
      <c r="AT18" s="111"/>
    </row>
    <row r="19" spans="1:46" x14ac:dyDescent="0.35">
      <c r="A19" s="72"/>
      <c r="B19" s="6">
        <v>22.5</v>
      </c>
      <c r="C19" s="2">
        <v>26.33</v>
      </c>
      <c r="D19" s="2">
        <v>22.9</v>
      </c>
      <c r="E19" s="2">
        <v>22.54</v>
      </c>
      <c r="F19" s="2">
        <v>24.42</v>
      </c>
      <c r="G19" s="7">
        <v>22.27</v>
      </c>
      <c r="H19" s="6">
        <v>13.02</v>
      </c>
      <c r="I19" s="2">
        <v>19.12</v>
      </c>
      <c r="J19" s="2">
        <v>15.23</v>
      </c>
      <c r="K19" s="2">
        <v>16.309999999999999</v>
      </c>
      <c r="L19" s="2">
        <v>13.27</v>
      </c>
      <c r="M19" s="105">
        <v>14.32</v>
      </c>
      <c r="N19" s="106">
        <v>18.29</v>
      </c>
      <c r="O19" s="107">
        <v>24.51</v>
      </c>
      <c r="P19" s="107">
        <v>21.06</v>
      </c>
      <c r="Q19" s="107">
        <v>21.57</v>
      </c>
      <c r="R19" s="107">
        <v>20.21</v>
      </c>
      <c r="S19" s="105">
        <v>22.25</v>
      </c>
      <c r="T19" s="107">
        <v>21.11</v>
      </c>
      <c r="U19" s="107">
        <v>20.46</v>
      </c>
      <c r="V19" s="107">
        <v>18.489999999999998</v>
      </c>
      <c r="W19" s="107">
        <v>18.5</v>
      </c>
      <c r="X19" s="107">
        <v>19.989999999999998</v>
      </c>
      <c r="Y19" s="124">
        <v>20.21</v>
      </c>
      <c r="Z19" s="106">
        <v>11.73</v>
      </c>
      <c r="AA19" s="107">
        <v>11.6</v>
      </c>
      <c r="AB19" s="107">
        <v>9.65</v>
      </c>
      <c r="AC19" s="107">
        <v>10.56</v>
      </c>
      <c r="AD19" s="107">
        <v>10.34</v>
      </c>
      <c r="AE19" s="105">
        <v>11.22</v>
      </c>
      <c r="AF19" s="106">
        <v>36.81</v>
      </c>
      <c r="AG19" s="107">
        <v>36.54</v>
      </c>
      <c r="AH19" s="107">
        <v>38.1</v>
      </c>
      <c r="AI19" s="107"/>
      <c r="AJ19" s="107">
        <v>15.31</v>
      </c>
      <c r="AK19" s="124">
        <v>13.12</v>
      </c>
      <c r="AL19" s="112"/>
      <c r="AM19" s="111"/>
      <c r="AN19" s="111"/>
      <c r="AO19" s="111"/>
      <c r="AP19" s="111"/>
      <c r="AQ19" s="111"/>
      <c r="AR19" s="113"/>
      <c r="AS19" s="111"/>
      <c r="AT19" s="111"/>
    </row>
    <row r="20" spans="1:46" x14ac:dyDescent="0.35">
      <c r="A20" s="72"/>
      <c r="B20" s="6">
        <v>25.41</v>
      </c>
      <c r="C20" s="2">
        <v>25.3</v>
      </c>
      <c r="D20" s="2">
        <v>22.46</v>
      </c>
      <c r="E20" s="2">
        <v>23.97</v>
      </c>
      <c r="F20" s="2">
        <v>25.13</v>
      </c>
      <c r="G20" s="7">
        <v>23.43</v>
      </c>
      <c r="H20" s="6">
        <v>13.55</v>
      </c>
      <c r="I20" s="2">
        <v>18.71</v>
      </c>
      <c r="J20" s="2">
        <v>13.34</v>
      </c>
      <c r="K20" s="2">
        <v>16.32</v>
      </c>
      <c r="L20" s="2">
        <v>15.51</v>
      </c>
      <c r="M20" s="105">
        <v>14.82</v>
      </c>
      <c r="N20" s="106">
        <v>20.83</v>
      </c>
      <c r="O20" s="107">
        <v>24.15</v>
      </c>
      <c r="P20" s="107">
        <v>21.41</v>
      </c>
      <c r="Q20" s="107">
        <v>20.2</v>
      </c>
      <c r="R20" s="107">
        <v>16.2</v>
      </c>
      <c r="S20" s="105">
        <v>21.75</v>
      </c>
      <c r="T20" s="107">
        <v>20.05</v>
      </c>
      <c r="U20" s="107">
        <v>22.31</v>
      </c>
      <c r="V20" s="107">
        <v>17.579999999999998</v>
      </c>
      <c r="W20" s="107">
        <v>22.78</v>
      </c>
      <c r="X20" s="107">
        <v>20.399999999999999</v>
      </c>
      <c r="Y20" s="124">
        <v>18.899999999999999</v>
      </c>
      <c r="Z20" s="106">
        <v>11.21</v>
      </c>
      <c r="AA20" s="107">
        <v>12.45</v>
      </c>
      <c r="AB20" s="107">
        <v>11.86</v>
      </c>
      <c r="AC20" s="107">
        <v>10.29</v>
      </c>
      <c r="AD20" s="107">
        <v>11.73</v>
      </c>
      <c r="AE20" s="105">
        <v>9.8699999999999992</v>
      </c>
      <c r="AF20" s="106">
        <v>36.9</v>
      </c>
      <c r="AG20" s="107">
        <v>35.6</v>
      </c>
      <c r="AH20" s="107">
        <v>37.15</v>
      </c>
      <c r="AI20" s="107"/>
      <c r="AJ20" s="107">
        <v>14.13</v>
      </c>
      <c r="AK20" s="124">
        <v>14.12</v>
      </c>
      <c r="AL20" s="112"/>
      <c r="AM20" s="111"/>
      <c r="AN20" s="111"/>
      <c r="AO20" s="111"/>
      <c r="AP20" s="111"/>
      <c r="AQ20" s="111"/>
      <c r="AR20" s="113"/>
      <c r="AS20" s="111"/>
      <c r="AT20" s="111"/>
    </row>
    <row r="21" spans="1:46" ht="15" thickBot="1" x14ac:dyDescent="0.4">
      <c r="A21" s="73"/>
      <c r="B21" s="8">
        <v>24.4</v>
      </c>
      <c r="C21" s="9">
        <v>25.73</v>
      </c>
      <c r="D21" s="9">
        <v>20.71</v>
      </c>
      <c r="E21" s="9">
        <v>23.67</v>
      </c>
      <c r="F21" s="9">
        <v>24.35</v>
      </c>
      <c r="G21" s="10">
        <v>22.45</v>
      </c>
      <c r="H21" s="8">
        <v>14.57</v>
      </c>
      <c r="I21" s="9">
        <v>17.91</v>
      </c>
      <c r="J21" s="9">
        <v>12.9</v>
      </c>
      <c r="K21" s="9">
        <v>14.55</v>
      </c>
      <c r="L21" s="9">
        <v>15.24</v>
      </c>
      <c r="M21" s="114">
        <v>18.760000000000002</v>
      </c>
      <c r="N21" s="115">
        <v>18.899999999999999</v>
      </c>
      <c r="O21" s="116">
        <v>22.77</v>
      </c>
      <c r="P21" s="116">
        <v>20.89</v>
      </c>
      <c r="Q21" s="116">
        <v>18.559999999999999</v>
      </c>
      <c r="R21" s="116">
        <v>15.93</v>
      </c>
      <c r="S21" s="114">
        <v>21.42</v>
      </c>
      <c r="T21" s="116">
        <v>19.350000000000001</v>
      </c>
      <c r="U21" s="116">
        <v>23.06</v>
      </c>
      <c r="V21" s="116">
        <v>17</v>
      </c>
      <c r="W21" s="116">
        <v>20.87</v>
      </c>
      <c r="X21" s="116">
        <v>19.579999999999998</v>
      </c>
      <c r="Y21" s="125">
        <v>19.48</v>
      </c>
      <c r="Z21" s="115">
        <v>10.61</v>
      </c>
      <c r="AA21" s="116">
        <v>10.5</v>
      </c>
      <c r="AB21" s="116">
        <v>11.45</v>
      </c>
      <c r="AC21" s="116">
        <v>11.17</v>
      </c>
      <c r="AD21" s="116">
        <v>10.16</v>
      </c>
      <c r="AE21" s="114">
        <v>10.27</v>
      </c>
      <c r="AF21" s="115">
        <v>35.799999999999997</v>
      </c>
      <c r="AG21" s="116">
        <v>37.76</v>
      </c>
      <c r="AH21" s="116">
        <v>40.39</v>
      </c>
      <c r="AI21" s="116"/>
      <c r="AJ21" s="116">
        <v>15.13</v>
      </c>
      <c r="AK21" s="125">
        <v>13.32</v>
      </c>
      <c r="AL21" s="117"/>
      <c r="AM21" s="118"/>
      <c r="AN21" s="118"/>
      <c r="AO21" s="118"/>
      <c r="AP21" s="118"/>
      <c r="AQ21" s="118"/>
      <c r="AR21" s="119"/>
      <c r="AS21" s="111"/>
      <c r="AT21" s="111"/>
    </row>
    <row r="22" spans="1:46" x14ac:dyDescent="0.35">
      <c r="A22" s="71" t="s">
        <v>0</v>
      </c>
      <c r="B22" s="3">
        <v>22.03</v>
      </c>
      <c r="C22" s="4">
        <v>25.02</v>
      </c>
      <c r="D22" s="4">
        <v>21.98</v>
      </c>
      <c r="E22" s="4">
        <v>21.56</v>
      </c>
      <c r="F22" s="4">
        <v>26.5</v>
      </c>
      <c r="G22" s="5">
        <v>22.29</v>
      </c>
      <c r="H22" s="3">
        <v>16.899999999999999</v>
      </c>
      <c r="I22" s="4">
        <v>13.69</v>
      </c>
      <c r="J22" s="4">
        <v>14.86</v>
      </c>
      <c r="K22" s="4">
        <v>17.010000000000002</v>
      </c>
      <c r="L22" s="4">
        <v>14.64</v>
      </c>
      <c r="M22" s="120">
        <v>13.18</v>
      </c>
      <c r="N22" s="121">
        <v>22.01</v>
      </c>
      <c r="O22" s="122">
        <v>28.56</v>
      </c>
      <c r="P22" s="122">
        <v>19.25</v>
      </c>
      <c r="Q22" s="122">
        <v>17.21</v>
      </c>
      <c r="R22" s="122">
        <v>30.51</v>
      </c>
      <c r="S22" s="120">
        <v>31.08</v>
      </c>
      <c r="T22" s="122">
        <v>23.98</v>
      </c>
      <c r="U22" s="122">
        <v>19.41</v>
      </c>
      <c r="V22" s="122">
        <v>20.93</v>
      </c>
      <c r="W22" s="122">
        <v>20.62</v>
      </c>
      <c r="X22" s="122">
        <v>20.3</v>
      </c>
      <c r="Y22" s="120">
        <v>19.03</v>
      </c>
      <c r="Z22" s="126">
        <v>19.899999999999999</v>
      </c>
      <c r="AA22" s="127">
        <v>22.62</v>
      </c>
      <c r="AB22" s="127">
        <v>19.04</v>
      </c>
      <c r="AC22" s="127">
        <v>20.8</v>
      </c>
      <c r="AD22" s="127">
        <v>20.57</v>
      </c>
      <c r="AE22" s="128">
        <v>16.149999999999999</v>
      </c>
      <c r="AF22" s="121">
        <v>42</v>
      </c>
      <c r="AG22" s="122">
        <v>43.2</v>
      </c>
      <c r="AH22" s="122">
        <v>44.02</v>
      </c>
      <c r="AI22" s="122">
        <v>39.51</v>
      </c>
      <c r="AJ22" s="122">
        <v>44.86</v>
      </c>
      <c r="AK22" s="123">
        <v>42.38</v>
      </c>
      <c r="AL22" s="121" t="s">
        <v>45</v>
      </c>
      <c r="AM22" s="122">
        <v>1297819.0800999999</v>
      </c>
      <c r="AN22" s="122">
        <v>1756254.4491000001</v>
      </c>
      <c r="AO22" s="122">
        <v>1657623.3182999999</v>
      </c>
      <c r="AP22" s="122"/>
      <c r="AQ22" s="122"/>
      <c r="AR22" s="120"/>
      <c r="AS22" s="111"/>
      <c r="AT22" s="111"/>
    </row>
    <row r="23" spans="1:46" x14ac:dyDescent="0.35">
      <c r="A23" s="72"/>
      <c r="B23" s="6">
        <v>21.06</v>
      </c>
      <c r="C23" s="2">
        <v>24.23</v>
      </c>
      <c r="D23" s="2">
        <v>21.2</v>
      </c>
      <c r="E23" s="2">
        <v>21.77</v>
      </c>
      <c r="F23" s="2">
        <v>27.09</v>
      </c>
      <c r="G23" s="7">
        <v>23.06</v>
      </c>
      <c r="H23" s="6">
        <v>17.329999999999998</v>
      </c>
      <c r="I23" s="2">
        <v>16.54</v>
      </c>
      <c r="J23" s="2">
        <v>15.03</v>
      </c>
      <c r="K23" s="2">
        <v>18.079999999999998</v>
      </c>
      <c r="L23" s="2">
        <v>15.17</v>
      </c>
      <c r="M23" s="105">
        <v>13.89</v>
      </c>
      <c r="N23" s="106">
        <v>22.55</v>
      </c>
      <c r="O23" s="107">
        <v>28.55</v>
      </c>
      <c r="P23" s="107">
        <v>17.82</v>
      </c>
      <c r="Q23" s="107">
        <v>16.12</v>
      </c>
      <c r="R23" s="107">
        <v>31.71</v>
      </c>
      <c r="S23" s="105">
        <v>31.34</v>
      </c>
      <c r="T23" s="107">
        <v>21.76</v>
      </c>
      <c r="U23" s="107">
        <v>19.18</v>
      </c>
      <c r="V23" s="107">
        <v>20.079999999999998</v>
      </c>
      <c r="W23" s="107">
        <v>19.34</v>
      </c>
      <c r="X23" s="107">
        <v>20.61</v>
      </c>
      <c r="Y23" s="105">
        <v>21.15</v>
      </c>
      <c r="Z23" s="106">
        <v>18.010000000000002</v>
      </c>
      <c r="AA23" s="107">
        <v>15.92</v>
      </c>
      <c r="AB23" s="107">
        <v>16.690000000000001</v>
      </c>
      <c r="AC23" s="107">
        <v>17.36</v>
      </c>
      <c r="AD23" s="107">
        <v>19.260000000000002</v>
      </c>
      <c r="AE23" s="105">
        <v>17.5</v>
      </c>
      <c r="AF23" s="106">
        <v>38.54</v>
      </c>
      <c r="AG23" s="107">
        <v>43.5</v>
      </c>
      <c r="AH23" s="107">
        <v>42.78</v>
      </c>
      <c r="AI23" s="107">
        <v>34.840000000000003</v>
      </c>
      <c r="AJ23" s="107">
        <v>45.6</v>
      </c>
      <c r="AK23" s="124">
        <v>36.92</v>
      </c>
      <c r="AL23" s="108" t="s">
        <v>46</v>
      </c>
      <c r="AM23" s="109">
        <f>262.4266*119</f>
        <v>31228.7654</v>
      </c>
      <c r="AN23" s="109">
        <f>266*831.9372</f>
        <v>221295.29519999999</v>
      </c>
      <c r="AO23" s="109">
        <f>166*721.6443</f>
        <v>119792.9538</v>
      </c>
      <c r="AP23" s="109"/>
      <c r="AQ23" s="109"/>
      <c r="AR23" s="110"/>
      <c r="AS23" s="111"/>
      <c r="AT23" s="111"/>
    </row>
    <row r="24" spans="1:46" x14ac:dyDescent="0.35">
      <c r="A24" s="72"/>
      <c r="B24" s="6">
        <v>21.97</v>
      </c>
      <c r="C24" s="2">
        <v>23.6</v>
      </c>
      <c r="D24" s="2">
        <v>21.46</v>
      </c>
      <c r="E24" s="2">
        <v>21.94</v>
      </c>
      <c r="F24" s="2">
        <v>28.32</v>
      </c>
      <c r="G24" s="7">
        <v>27.24</v>
      </c>
      <c r="H24" s="6">
        <v>17.149999999999999</v>
      </c>
      <c r="I24" s="2">
        <v>16.510000000000002</v>
      </c>
      <c r="J24" s="2">
        <v>16.82</v>
      </c>
      <c r="K24" s="2">
        <v>14.57</v>
      </c>
      <c r="L24" s="2">
        <v>14.27</v>
      </c>
      <c r="M24" s="105">
        <v>14.37</v>
      </c>
      <c r="N24" s="106">
        <v>22.13</v>
      </c>
      <c r="O24" s="107">
        <v>19.14</v>
      </c>
      <c r="P24" s="107">
        <v>16.18</v>
      </c>
      <c r="Q24" s="107">
        <v>17.28</v>
      </c>
      <c r="R24" s="107">
        <v>22.2</v>
      </c>
      <c r="S24" s="105">
        <v>27.48</v>
      </c>
      <c r="T24" s="107">
        <v>20.57</v>
      </c>
      <c r="U24" s="107">
        <v>19.77</v>
      </c>
      <c r="V24" s="107">
        <v>22.3</v>
      </c>
      <c r="W24" s="107">
        <v>19.41</v>
      </c>
      <c r="X24" s="107">
        <v>19.82</v>
      </c>
      <c r="Y24" s="105">
        <v>19.53</v>
      </c>
      <c r="Z24" s="106">
        <v>19.43</v>
      </c>
      <c r="AA24" s="107">
        <v>15.41</v>
      </c>
      <c r="AB24" s="107">
        <v>22.47</v>
      </c>
      <c r="AC24" s="107">
        <v>20.97</v>
      </c>
      <c r="AD24" s="107">
        <v>18.66</v>
      </c>
      <c r="AE24" s="105">
        <v>17.75</v>
      </c>
      <c r="AF24" s="106">
        <v>40.93</v>
      </c>
      <c r="AG24" s="107">
        <v>43.41</v>
      </c>
      <c r="AH24" s="107">
        <v>41.23</v>
      </c>
      <c r="AI24" s="107">
        <v>44.06</v>
      </c>
      <c r="AJ24" s="107">
        <v>43.5</v>
      </c>
      <c r="AK24" s="124">
        <v>38.130000000000003</v>
      </c>
      <c r="AL24" s="112"/>
      <c r="AM24" s="111"/>
      <c r="AN24" s="111"/>
      <c r="AO24" s="111"/>
      <c r="AP24" s="111"/>
      <c r="AQ24" s="111"/>
      <c r="AR24" s="113"/>
      <c r="AS24" s="111"/>
      <c r="AT24" s="111"/>
    </row>
    <row r="25" spans="1:46" x14ac:dyDescent="0.35">
      <c r="A25" s="72"/>
      <c r="B25" s="6">
        <v>20.77</v>
      </c>
      <c r="C25" s="2">
        <v>23.04</v>
      </c>
      <c r="D25" s="2">
        <v>21.16</v>
      </c>
      <c r="E25" s="2">
        <v>22.72</v>
      </c>
      <c r="F25" s="2">
        <v>28.98</v>
      </c>
      <c r="G25" s="7">
        <v>23.34</v>
      </c>
      <c r="H25" s="6">
        <v>16.91</v>
      </c>
      <c r="I25" s="2">
        <v>15.91</v>
      </c>
      <c r="J25" s="2">
        <v>16.71</v>
      </c>
      <c r="K25" s="2">
        <v>16.46</v>
      </c>
      <c r="L25" s="2">
        <v>14.27</v>
      </c>
      <c r="M25" s="105">
        <v>13.18</v>
      </c>
      <c r="N25" s="106">
        <v>20.58</v>
      </c>
      <c r="O25" s="107">
        <v>17.010000000000002</v>
      </c>
      <c r="P25" s="107">
        <v>18.37</v>
      </c>
      <c r="Q25" s="107">
        <v>16.7</v>
      </c>
      <c r="R25" s="107">
        <v>24.03</v>
      </c>
      <c r="S25" s="105">
        <v>29.92</v>
      </c>
      <c r="T25" s="107">
        <v>20.05</v>
      </c>
      <c r="U25" s="107">
        <v>18.670000000000002</v>
      </c>
      <c r="V25" s="107">
        <v>23.01</v>
      </c>
      <c r="W25" s="107">
        <v>18.809999999999999</v>
      </c>
      <c r="X25" s="107">
        <v>20.83</v>
      </c>
      <c r="Y25" s="105">
        <v>18.82</v>
      </c>
      <c r="Z25" s="106">
        <v>17.32</v>
      </c>
      <c r="AA25" s="107">
        <v>17.579999999999998</v>
      </c>
      <c r="AB25" s="107">
        <v>19.329999999999998</v>
      </c>
      <c r="AC25" s="107">
        <v>14.39</v>
      </c>
      <c r="AD25" s="107">
        <v>14.64</v>
      </c>
      <c r="AE25" s="105">
        <v>17.72</v>
      </c>
      <c r="AF25" s="106">
        <v>40.200000000000003</v>
      </c>
      <c r="AG25" s="107">
        <v>42.61</v>
      </c>
      <c r="AH25" s="107">
        <v>38.9</v>
      </c>
      <c r="AI25" s="107">
        <v>44.35</v>
      </c>
      <c r="AJ25" s="107">
        <v>44.21</v>
      </c>
      <c r="AK25" s="124">
        <v>34.99</v>
      </c>
      <c r="AL25" s="112"/>
      <c r="AM25" s="111"/>
      <c r="AN25" s="111"/>
      <c r="AO25" s="111"/>
      <c r="AP25" s="111"/>
      <c r="AQ25" s="111"/>
      <c r="AR25" s="113"/>
      <c r="AS25" s="111"/>
      <c r="AT25" s="111"/>
    </row>
    <row r="26" spans="1:46" x14ac:dyDescent="0.35">
      <c r="A26" s="72"/>
      <c r="B26" s="6">
        <v>21.75</v>
      </c>
      <c r="C26" s="2">
        <v>24.82</v>
      </c>
      <c r="D26" s="2">
        <v>20.74</v>
      </c>
      <c r="E26" s="2">
        <v>22.18</v>
      </c>
      <c r="F26" s="2">
        <v>25.82</v>
      </c>
      <c r="G26" s="7">
        <v>22.31</v>
      </c>
      <c r="H26" s="6">
        <v>16.21</v>
      </c>
      <c r="I26" s="2">
        <v>16.38</v>
      </c>
      <c r="J26" s="2">
        <v>16.739999999999998</v>
      </c>
      <c r="K26" s="2">
        <v>15.46</v>
      </c>
      <c r="L26" s="2">
        <v>15.03</v>
      </c>
      <c r="M26" s="105">
        <v>15.85</v>
      </c>
      <c r="N26" s="106">
        <v>20.38</v>
      </c>
      <c r="O26" s="107">
        <v>27.83</v>
      </c>
      <c r="P26" s="107">
        <v>17.989999999999998</v>
      </c>
      <c r="Q26" s="107">
        <v>18.420000000000002</v>
      </c>
      <c r="R26" s="107">
        <v>24.05</v>
      </c>
      <c r="S26" s="105">
        <v>25.43</v>
      </c>
      <c r="T26" s="107">
        <v>20.52</v>
      </c>
      <c r="U26" s="107">
        <v>19.350000000000001</v>
      </c>
      <c r="V26" s="107">
        <v>19.21</v>
      </c>
      <c r="W26" s="107">
        <v>21.23</v>
      </c>
      <c r="X26" s="107">
        <v>20.95</v>
      </c>
      <c r="Y26" s="105">
        <v>19.53</v>
      </c>
      <c r="Z26" s="106">
        <v>19.920000000000002</v>
      </c>
      <c r="AA26" s="107">
        <v>18.02</v>
      </c>
      <c r="AB26" s="107">
        <v>20.49</v>
      </c>
      <c r="AC26" s="107">
        <v>17.07</v>
      </c>
      <c r="AD26" s="107">
        <v>11.32</v>
      </c>
      <c r="AE26" s="105">
        <v>18.920000000000002</v>
      </c>
      <c r="AF26" s="106">
        <v>42.77</v>
      </c>
      <c r="AG26" s="107">
        <v>42.79</v>
      </c>
      <c r="AH26" s="107">
        <v>38.89</v>
      </c>
      <c r="AI26" s="107">
        <v>38.61</v>
      </c>
      <c r="AJ26" s="107">
        <v>42.84</v>
      </c>
      <c r="AK26" s="124">
        <v>40.450000000000003</v>
      </c>
      <c r="AL26" s="112"/>
      <c r="AM26" s="111"/>
      <c r="AN26" s="111"/>
      <c r="AO26" s="111"/>
      <c r="AP26" s="111"/>
      <c r="AQ26" s="111"/>
      <c r="AR26" s="113"/>
      <c r="AS26" s="111"/>
      <c r="AT26" s="111"/>
    </row>
    <row r="27" spans="1:46" ht="15" thickBot="1" x14ac:dyDescent="0.4">
      <c r="A27" s="73"/>
      <c r="B27" s="8">
        <v>22.09</v>
      </c>
      <c r="C27" s="9">
        <v>24.41</v>
      </c>
      <c r="D27" s="9">
        <v>20.81</v>
      </c>
      <c r="E27" s="9">
        <v>22.28</v>
      </c>
      <c r="F27" s="9">
        <v>25.67</v>
      </c>
      <c r="G27" s="10">
        <v>25.21</v>
      </c>
      <c r="H27" s="8">
        <v>16.72</v>
      </c>
      <c r="I27" s="9">
        <v>14.57</v>
      </c>
      <c r="J27" s="9">
        <v>13.77</v>
      </c>
      <c r="K27" s="9">
        <v>15.19</v>
      </c>
      <c r="L27" s="9">
        <v>14.34</v>
      </c>
      <c r="M27" s="114">
        <v>15.04</v>
      </c>
      <c r="N27" s="115">
        <v>22.68</v>
      </c>
      <c r="O27" s="116">
        <v>29.69</v>
      </c>
      <c r="P27" s="116">
        <v>17.22</v>
      </c>
      <c r="Q27" s="116">
        <v>18.96</v>
      </c>
      <c r="R27" s="116">
        <v>27.19</v>
      </c>
      <c r="S27" s="114">
        <v>25.04</v>
      </c>
      <c r="T27" s="116">
        <v>23.2</v>
      </c>
      <c r="U27" s="116">
        <v>21.73</v>
      </c>
      <c r="V27" s="116">
        <v>20.81</v>
      </c>
      <c r="W27" s="116">
        <v>17.989999999999998</v>
      </c>
      <c r="X27" s="116">
        <v>19.29</v>
      </c>
      <c r="Y27" s="114">
        <v>20.53</v>
      </c>
      <c r="Z27" s="115">
        <v>22.04</v>
      </c>
      <c r="AA27" s="116">
        <v>17.07</v>
      </c>
      <c r="AB27" s="116">
        <v>20.25</v>
      </c>
      <c r="AC27" s="116">
        <v>18.04</v>
      </c>
      <c r="AD27" s="116">
        <v>17.48</v>
      </c>
      <c r="AE27" s="114">
        <v>16.73</v>
      </c>
      <c r="AF27" s="115">
        <v>42.5</v>
      </c>
      <c r="AG27" s="116">
        <v>42.11</v>
      </c>
      <c r="AH27" s="116">
        <v>40.15</v>
      </c>
      <c r="AI27" s="116">
        <v>41.04</v>
      </c>
      <c r="AJ27" s="116">
        <v>39.67</v>
      </c>
      <c r="AK27" s="125">
        <v>41.63</v>
      </c>
      <c r="AL27" s="117"/>
      <c r="AM27" s="118"/>
      <c r="AN27" s="118"/>
      <c r="AO27" s="118"/>
      <c r="AP27" s="118"/>
      <c r="AQ27" s="118"/>
      <c r="AR27" s="119"/>
      <c r="AS27" s="111"/>
      <c r="AT27" s="111"/>
    </row>
    <row r="28" spans="1:46" x14ac:dyDescent="0.35">
      <c r="A28" s="71" t="s">
        <v>4</v>
      </c>
      <c r="B28" s="3">
        <v>23.5</v>
      </c>
      <c r="C28" s="4">
        <v>26.3</v>
      </c>
      <c r="D28" s="4">
        <v>19.77</v>
      </c>
      <c r="E28" s="4">
        <v>20.39</v>
      </c>
      <c r="F28" s="4">
        <v>24.47</v>
      </c>
      <c r="G28" s="5">
        <v>18.98</v>
      </c>
      <c r="H28" s="3">
        <v>17.16</v>
      </c>
      <c r="I28" s="4">
        <v>14.07</v>
      </c>
      <c r="J28" s="4">
        <v>15.74</v>
      </c>
      <c r="K28" s="4">
        <v>14.41</v>
      </c>
      <c r="L28" s="4">
        <v>14.74</v>
      </c>
      <c r="M28" s="120">
        <v>19.510000000000002</v>
      </c>
      <c r="N28" s="121">
        <v>26.29</v>
      </c>
      <c r="O28" s="122">
        <v>26.99</v>
      </c>
      <c r="P28" s="122">
        <v>22.26</v>
      </c>
      <c r="Q28" s="122">
        <v>28.82</v>
      </c>
      <c r="R28" s="122">
        <v>24.34</v>
      </c>
      <c r="S28" s="120">
        <v>26.28</v>
      </c>
      <c r="T28" s="122">
        <v>18.97</v>
      </c>
      <c r="U28" s="122">
        <v>19.66</v>
      </c>
      <c r="V28" s="122">
        <v>18.96</v>
      </c>
      <c r="W28" s="122">
        <v>18.309999999999999</v>
      </c>
      <c r="X28" s="122">
        <v>18.91</v>
      </c>
      <c r="Y28" s="120">
        <v>19.82</v>
      </c>
      <c r="Z28" s="121">
        <v>17.190000000000001</v>
      </c>
      <c r="AA28" s="122">
        <v>22.61</v>
      </c>
      <c r="AB28" s="122">
        <v>21.19</v>
      </c>
      <c r="AC28" s="122">
        <v>22.11</v>
      </c>
      <c r="AD28" s="122">
        <v>20.9</v>
      </c>
      <c r="AE28" s="120">
        <v>16.45</v>
      </c>
      <c r="AF28" s="121">
        <v>38.83</v>
      </c>
      <c r="AG28" s="122">
        <v>41.61</v>
      </c>
      <c r="AH28" s="122">
        <v>39.950000000000003</v>
      </c>
      <c r="AI28" s="122"/>
      <c r="AJ28" s="122"/>
      <c r="AK28" s="123"/>
      <c r="AL28" s="121" t="s">
        <v>45</v>
      </c>
      <c r="AM28" s="122">
        <v>2031039.1843000001</v>
      </c>
      <c r="AN28" s="122">
        <v>1525991.0796999999</v>
      </c>
      <c r="AO28" s="122">
        <v>1386144.6717000001</v>
      </c>
      <c r="AP28" s="122">
        <v>2339658.0306000002</v>
      </c>
      <c r="AQ28" s="122">
        <v>466796.59240000002</v>
      </c>
      <c r="AR28" s="120">
        <v>943544.56570000004</v>
      </c>
      <c r="AS28" s="111"/>
      <c r="AT28" s="111"/>
    </row>
    <row r="29" spans="1:46" x14ac:dyDescent="0.35">
      <c r="A29" s="72"/>
      <c r="B29" s="6">
        <v>22.97</v>
      </c>
      <c r="C29" s="2">
        <v>26.67</v>
      </c>
      <c r="D29" s="2">
        <v>20.13</v>
      </c>
      <c r="E29" s="2">
        <v>23.55</v>
      </c>
      <c r="F29" s="2">
        <v>23.09</v>
      </c>
      <c r="G29" s="7">
        <v>19.54</v>
      </c>
      <c r="H29" s="6">
        <v>15.38</v>
      </c>
      <c r="I29" s="2">
        <v>15.02</v>
      </c>
      <c r="J29" s="2">
        <v>15.57</v>
      </c>
      <c r="K29" s="2">
        <v>17.149999999999999</v>
      </c>
      <c r="L29" s="2">
        <v>13.51</v>
      </c>
      <c r="M29" s="105">
        <v>21.01</v>
      </c>
      <c r="N29" s="106">
        <v>26.41</v>
      </c>
      <c r="O29" s="107">
        <v>25.43</v>
      </c>
      <c r="P29" s="107">
        <v>22.05</v>
      </c>
      <c r="Q29" s="107">
        <v>27.83</v>
      </c>
      <c r="R29" s="107">
        <v>22.88</v>
      </c>
      <c r="S29" s="105">
        <v>25.13</v>
      </c>
      <c r="T29" s="107">
        <v>19.63</v>
      </c>
      <c r="U29" s="107">
        <v>18.09</v>
      </c>
      <c r="V29" s="107">
        <v>17.96</v>
      </c>
      <c r="W29" s="107">
        <v>18.37</v>
      </c>
      <c r="X29" s="107">
        <v>18.649999999999999</v>
      </c>
      <c r="Y29" s="105">
        <v>19.02</v>
      </c>
      <c r="Z29" s="106">
        <v>17.05</v>
      </c>
      <c r="AA29" s="107">
        <v>17.52</v>
      </c>
      <c r="AB29" s="107">
        <v>17.75</v>
      </c>
      <c r="AC29" s="107">
        <v>14.44</v>
      </c>
      <c r="AD29" s="107">
        <v>17.61</v>
      </c>
      <c r="AE29" s="105">
        <v>16.45</v>
      </c>
      <c r="AF29" s="106">
        <v>41.16</v>
      </c>
      <c r="AG29" s="107">
        <v>41.82</v>
      </c>
      <c r="AH29" s="107">
        <v>39.270000000000003</v>
      </c>
      <c r="AI29" s="107"/>
      <c r="AJ29" s="107"/>
      <c r="AK29" s="124"/>
      <c r="AL29" s="108" t="s">
        <v>46</v>
      </c>
      <c r="AM29" s="109">
        <f>688.39*138</f>
        <v>94997.819999999992</v>
      </c>
      <c r="AN29" s="109">
        <f>603.0904*180</f>
        <v>108556.27200000001</v>
      </c>
      <c r="AO29" s="109">
        <f>826*147.0371</f>
        <v>121452.64460000001</v>
      </c>
      <c r="AP29" s="109">
        <f>234*37.9744</f>
        <v>8886.0096000000012</v>
      </c>
      <c r="AQ29" s="109">
        <f>1111*87.5347</f>
        <v>97251.051699999996</v>
      </c>
      <c r="AR29" s="110">
        <f>152*29.6184</f>
        <v>4501.9967999999999</v>
      </c>
      <c r="AS29" s="111"/>
      <c r="AT29" s="111"/>
    </row>
    <row r="30" spans="1:46" x14ac:dyDescent="0.35">
      <c r="A30" s="72"/>
      <c r="B30" s="6">
        <v>23.13</v>
      </c>
      <c r="C30" s="2">
        <v>27.27</v>
      </c>
      <c r="D30" s="2">
        <v>20.13</v>
      </c>
      <c r="E30" s="2">
        <v>23.8</v>
      </c>
      <c r="F30" s="2">
        <v>21.97</v>
      </c>
      <c r="G30" s="7">
        <v>20.149999999999999</v>
      </c>
      <c r="H30" s="6">
        <v>18.12</v>
      </c>
      <c r="I30" s="2">
        <v>14.05</v>
      </c>
      <c r="J30" s="2">
        <v>17.61</v>
      </c>
      <c r="K30" s="2">
        <v>17.73</v>
      </c>
      <c r="L30" s="2">
        <v>14.15</v>
      </c>
      <c r="M30" s="105">
        <v>19.82</v>
      </c>
      <c r="N30" s="106">
        <v>26.22</v>
      </c>
      <c r="O30" s="107">
        <v>22</v>
      </c>
      <c r="P30" s="107">
        <v>21.88</v>
      </c>
      <c r="Q30" s="107">
        <v>21.96</v>
      </c>
      <c r="R30" s="107">
        <v>23.66</v>
      </c>
      <c r="S30" s="105">
        <v>20.83</v>
      </c>
      <c r="T30" s="107">
        <v>22.79</v>
      </c>
      <c r="U30" s="107">
        <v>19.440000000000001</v>
      </c>
      <c r="V30" s="107">
        <v>20.309999999999999</v>
      </c>
      <c r="W30" s="107">
        <v>21.01</v>
      </c>
      <c r="X30" s="107">
        <v>19.64</v>
      </c>
      <c r="Y30" s="105">
        <v>19.02</v>
      </c>
      <c r="Z30" s="106">
        <v>17.190000000000001</v>
      </c>
      <c r="AA30" s="107">
        <v>16.48</v>
      </c>
      <c r="AB30" s="107">
        <v>20.5</v>
      </c>
      <c r="AC30" s="107">
        <v>15.64</v>
      </c>
      <c r="AD30" s="107">
        <v>16.25</v>
      </c>
      <c r="AE30" s="105">
        <v>17.45</v>
      </c>
      <c r="AF30" s="106">
        <v>39.869999999999997</v>
      </c>
      <c r="AG30" s="107">
        <v>40.700000000000003</v>
      </c>
      <c r="AH30" s="107">
        <v>38.85</v>
      </c>
      <c r="AI30" s="107"/>
      <c r="AJ30" s="107"/>
      <c r="AK30" s="124"/>
      <c r="AL30" s="112"/>
      <c r="AM30" s="111"/>
      <c r="AN30" s="111"/>
      <c r="AO30" s="111"/>
      <c r="AP30" s="111"/>
      <c r="AQ30" s="111"/>
      <c r="AR30" s="113"/>
      <c r="AS30" s="111"/>
      <c r="AT30" s="111"/>
    </row>
    <row r="31" spans="1:46" x14ac:dyDescent="0.35">
      <c r="A31" s="72"/>
      <c r="B31" s="6">
        <v>23.87</v>
      </c>
      <c r="C31" s="2">
        <v>25</v>
      </c>
      <c r="D31" s="2">
        <v>21.34</v>
      </c>
      <c r="E31" s="2">
        <v>22.27</v>
      </c>
      <c r="F31" s="2">
        <v>21.96</v>
      </c>
      <c r="G31" s="7">
        <v>23.36</v>
      </c>
      <c r="H31" s="6">
        <v>17.309999999999999</v>
      </c>
      <c r="I31" s="2">
        <v>13.85</v>
      </c>
      <c r="J31" s="2">
        <v>17.59</v>
      </c>
      <c r="K31" s="2">
        <v>17.29</v>
      </c>
      <c r="L31" s="2">
        <v>17.329999999999998</v>
      </c>
      <c r="M31" s="105">
        <v>17.739999999999998</v>
      </c>
      <c r="N31" s="106">
        <v>28.08</v>
      </c>
      <c r="O31" s="107">
        <v>24.27</v>
      </c>
      <c r="P31" s="107">
        <v>23.35</v>
      </c>
      <c r="Q31" s="107">
        <v>25.26</v>
      </c>
      <c r="R31" s="107">
        <v>23.54</v>
      </c>
      <c r="S31" s="105">
        <v>22.04</v>
      </c>
      <c r="T31" s="107">
        <v>22.84</v>
      </c>
      <c r="U31" s="107">
        <v>19.77</v>
      </c>
      <c r="V31" s="107">
        <v>18.84</v>
      </c>
      <c r="W31" s="107">
        <v>20.67</v>
      </c>
      <c r="X31" s="107">
        <v>18.7</v>
      </c>
      <c r="Y31" s="105">
        <v>20.5</v>
      </c>
      <c r="Z31" s="106">
        <v>18.18</v>
      </c>
      <c r="AA31" s="107">
        <v>16.32</v>
      </c>
      <c r="AB31" s="107">
        <v>15.72</v>
      </c>
      <c r="AC31" s="107">
        <v>19.11</v>
      </c>
      <c r="AD31" s="107">
        <v>19.03</v>
      </c>
      <c r="AE31" s="105">
        <v>15.27</v>
      </c>
      <c r="AF31" s="106">
        <v>32.96</v>
      </c>
      <c r="AG31" s="107">
        <v>39.15</v>
      </c>
      <c r="AH31" s="107">
        <v>36.950000000000003</v>
      </c>
      <c r="AI31" s="107"/>
      <c r="AJ31" s="107"/>
      <c r="AK31" s="124"/>
      <c r="AL31" s="112"/>
      <c r="AM31" s="111"/>
      <c r="AN31" s="111"/>
      <c r="AO31" s="111"/>
      <c r="AP31" s="111"/>
      <c r="AQ31" s="111"/>
      <c r="AR31" s="113"/>
      <c r="AS31" s="111"/>
      <c r="AT31" s="111"/>
    </row>
    <row r="32" spans="1:46" x14ac:dyDescent="0.35">
      <c r="A32" s="72"/>
      <c r="B32" s="6">
        <v>23.58</v>
      </c>
      <c r="C32" s="2">
        <v>24.77</v>
      </c>
      <c r="D32" s="2">
        <v>19.82</v>
      </c>
      <c r="E32" s="2">
        <v>22.1</v>
      </c>
      <c r="F32" s="2">
        <v>21.96</v>
      </c>
      <c r="G32" s="7">
        <v>23.53</v>
      </c>
      <c r="H32" s="6">
        <v>17.649999999999999</v>
      </c>
      <c r="I32" s="2">
        <v>13.43</v>
      </c>
      <c r="J32" s="2">
        <v>15.46</v>
      </c>
      <c r="K32" s="2">
        <v>16.18</v>
      </c>
      <c r="L32" s="2">
        <v>12.77</v>
      </c>
      <c r="M32" s="105">
        <v>16.010000000000002</v>
      </c>
      <c r="N32" s="106">
        <v>27.16</v>
      </c>
      <c r="O32" s="107">
        <v>21.7</v>
      </c>
      <c r="P32" s="107">
        <v>22</v>
      </c>
      <c r="Q32" s="107">
        <v>28.93</v>
      </c>
      <c r="R32" s="107">
        <v>22.1</v>
      </c>
      <c r="S32" s="105">
        <v>19.760000000000002</v>
      </c>
      <c r="T32" s="107">
        <v>20.79</v>
      </c>
      <c r="U32" s="107">
        <v>19.170000000000002</v>
      </c>
      <c r="V32" s="107">
        <v>21.97</v>
      </c>
      <c r="W32" s="107">
        <v>21.45</v>
      </c>
      <c r="X32" s="107">
        <v>19.09</v>
      </c>
      <c r="Y32" s="105">
        <v>18.670000000000002</v>
      </c>
      <c r="Z32" s="106">
        <v>18.3</v>
      </c>
      <c r="AA32" s="107">
        <v>20.399999999999999</v>
      </c>
      <c r="AB32" s="107">
        <v>14.83</v>
      </c>
      <c r="AC32" s="107">
        <v>20.58</v>
      </c>
      <c r="AD32" s="107">
        <v>21.77</v>
      </c>
      <c r="AE32" s="105">
        <v>19.27</v>
      </c>
      <c r="AF32" s="106">
        <v>35.29</v>
      </c>
      <c r="AG32" s="107">
        <v>39.24</v>
      </c>
      <c r="AH32" s="107">
        <v>41.73</v>
      </c>
      <c r="AI32" s="107"/>
      <c r="AJ32" s="107"/>
      <c r="AK32" s="124"/>
      <c r="AL32" s="112"/>
      <c r="AM32" s="111"/>
      <c r="AN32" s="111"/>
      <c r="AO32" s="111"/>
      <c r="AP32" s="111"/>
      <c r="AQ32" s="111"/>
      <c r="AR32" s="113"/>
      <c r="AS32" s="111"/>
      <c r="AT32" s="111"/>
    </row>
    <row r="33" spans="1:46" ht="15" thickBot="1" x14ac:dyDescent="0.4">
      <c r="A33" s="73"/>
      <c r="B33" s="8">
        <v>24.8</v>
      </c>
      <c r="C33" s="9">
        <v>24.84</v>
      </c>
      <c r="D33" s="9">
        <v>21.34</v>
      </c>
      <c r="E33" s="9">
        <v>22.61</v>
      </c>
      <c r="F33" s="9">
        <v>23.44</v>
      </c>
      <c r="G33" s="10">
        <v>20.5</v>
      </c>
      <c r="H33" s="8">
        <v>15.78</v>
      </c>
      <c r="I33" s="9">
        <v>12.95</v>
      </c>
      <c r="J33" s="9">
        <v>16.850000000000001</v>
      </c>
      <c r="K33" s="9">
        <v>16.149999999999999</v>
      </c>
      <c r="L33" s="9">
        <v>13.01</v>
      </c>
      <c r="M33" s="114">
        <v>14.09</v>
      </c>
      <c r="N33" s="115">
        <v>24.34</v>
      </c>
      <c r="O33" s="116">
        <v>21.25</v>
      </c>
      <c r="P33" s="116">
        <v>17.82</v>
      </c>
      <c r="Q33" s="116">
        <v>27.45</v>
      </c>
      <c r="R33" s="116">
        <v>24.4</v>
      </c>
      <c r="S33" s="114">
        <v>19.61</v>
      </c>
      <c r="T33" s="116">
        <v>21.64</v>
      </c>
      <c r="U33" s="116">
        <v>20.96</v>
      </c>
      <c r="V33" s="116">
        <v>21.11</v>
      </c>
      <c r="W33" s="116">
        <v>20</v>
      </c>
      <c r="X33" s="116">
        <v>19.97</v>
      </c>
      <c r="Y33" s="114">
        <v>19.71</v>
      </c>
      <c r="Z33" s="115">
        <v>21.48</v>
      </c>
      <c r="AA33" s="116">
        <v>18.25</v>
      </c>
      <c r="AB33" s="116">
        <v>15.64</v>
      </c>
      <c r="AC33" s="116">
        <v>15.73</v>
      </c>
      <c r="AD33" s="116">
        <v>17.66</v>
      </c>
      <c r="AE33" s="114">
        <v>17.09</v>
      </c>
      <c r="AF33" s="108">
        <v>39.61</v>
      </c>
      <c r="AG33" s="109">
        <v>38.69</v>
      </c>
      <c r="AH33" s="109">
        <v>41.96</v>
      </c>
      <c r="AI33" s="109"/>
      <c r="AJ33" s="109"/>
      <c r="AK33" s="129"/>
      <c r="AL33" s="117"/>
      <c r="AM33" s="118"/>
      <c r="AN33" s="118"/>
      <c r="AO33" s="118"/>
      <c r="AP33" s="118"/>
      <c r="AQ33" s="118"/>
      <c r="AR33" s="119"/>
      <c r="AS33" s="111"/>
      <c r="AT33" s="111"/>
    </row>
    <row r="34" spans="1:46" x14ac:dyDescent="0.35">
      <c r="A34" s="71" t="s">
        <v>142</v>
      </c>
      <c r="B34" s="3">
        <v>22.8</v>
      </c>
      <c r="C34" s="4">
        <v>26.19</v>
      </c>
      <c r="D34" s="4">
        <v>27.21</v>
      </c>
      <c r="E34" s="4">
        <v>22.79</v>
      </c>
      <c r="F34" s="4">
        <v>24.38</v>
      </c>
      <c r="G34" s="5">
        <v>22.97</v>
      </c>
      <c r="H34" s="3">
        <v>16.63</v>
      </c>
      <c r="I34" s="4">
        <v>16.64</v>
      </c>
      <c r="J34" s="4">
        <v>15.8</v>
      </c>
      <c r="K34" s="4">
        <v>17.18</v>
      </c>
      <c r="L34" s="4">
        <v>14.29</v>
      </c>
      <c r="M34" s="120">
        <v>14.62</v>
      </c>
      <c r="N34" s="121">
        <v>25.24</v>
      </c>
      <c r="O34" s="122">
        <v>20.05</v>
      </c>
      <c r="P34" s="122">
        <v>25.7</v>
      </c>
      <c r="Q34" s="122">
        <v>29.57</v>
      </c>
      <c r="R34" s="122">
        <v>24.04</v>
      </c>
      <c r="S34" s="120">
        <v>32.31</v>
      </c>
      <c r="T34" s="122">
        <v>17.7</v>
      </c>
      <c r="U34" s="122">
        <v>18.66</v>
      </c>
      <c r="V34" s="122">
        <v>20.420000000000002</v>
      </c>
      <c r="W34" s="122">
        <v>18.93</v>
      </c>
      <c r="X34" s="122">
        <v>20.95</v>
      </c>
      <c r="Y34" s="120">
        <v>19.32</v>
      </c>
      <c r="Z34" s="121">
        <v>21.71</v>
      </c>
      <c r="AA34" s="122">
        <v>17.87</v>
      </c>
      <c r="AB34" s="122">
        <v>16.57</v>
      </c>
      <c r="AC34" s="122">
        <v>21.22</v>
      </c>
      <c r="AD34" s="122">
        <v>11.63</v>
      </c>
      <c r="AE34" s="123">
        <v>19.89</v>
      </c>
      <c r="AF34" s="121">
        <v>22.53</v>
      </c>
      <c r="AG34" s="122">
        <v>22.36</v>
      </c>
      <c r="AH34" s="122">
        <v>38.69</v>
      </c>
      <c r="AI34" s="122">
        <v>26.82</v>
      </c>
      <c r="AJ34" s="122">
        <v>35.35</v>
      </c>
      <c r="AK34" s="120">
        <v>36.119999999999997</v>
      </c>
      <c r="AL34" s="121" t="s">
        <v>45</v>
      </c>
      <c r="AM34" s="122">
        <v>1063036.2249</v>
      </c>
      <c r="AN34" s="122">
        <v>2918630.7437</v>
      </c>
      <c r="AO34" s="122">
        <v>1591443.8677999999</v>
      </c>
      <c r="AP34" s="122"/>
      <c r="AQ34" s="122"/>
      <c r="AR34" s="120"/>
      <c r="AS34" s="111"/>
      <c r="AT34" s="111"/>
    </row>
    <row r="35" spans="1:46" x14ac:dyDescent="0.35">
      <c r="A35" s="72"/>
      <c r="B35" s="6">
        <v>22.04</v>
      </c>
      <c r="C35" s="2">
        <v>27.47</v>
      </c>
      <c r="D35" s="2">
        <v>26.04</v>
      </c>
      <c r="E35" s="2">
        <v>22.1</v>
      </c>
      <c r="F35" s="2">
        <v>24.02</v>
      </c>
      <c r="G35" s="7">
        <v>22.61</v>
      </c>
      <c r="H35" s="6">
        <v>16.41</v>
      </c>
      <c r="I35" s="2">
        <v>15.89</v>
      </c>
      <c r="J35" s="2">
        <v>14.41</v>
      </c>
      <c r="K35" s="2">
        <v>17.63</v>
      </c>
      <c r="L35" s="2">
        <v>16.32</v>
      </c>
      <c r="M35" s="105">
        <v>16.91</v>
      </c>
      <c r="N35" s="106">
        <v>23.89</v>
      </c>
      <c r="O35" s="107">
        <v>19.98</v>
      </c>
      <c r="P35" s="107">
        <v>26.13</v>
      </c>
      <c r="Q35" s="107">
        <v>29.42</v>
      </c>
      <c r="R35" s="107">
        <v>24.39</v>
      </c>
      <c r="S35" s="105">
        <v>31.43</v>
      </c>
      <c r="T35" s="107">
        <v>21.07</v>
      </c>
      <c r="U35" s="107">
        <v>20.79</v>
      </c>
      <c r="V35" s="107">
        <v>20.66</v>
      </c>
      <c r="W35" s="107">
        <v>20.88</v>
      </c>
      <c r="X35" s="107">
        <v>20.51</v>
      </c>
      <c r="Y35" s="105">
        <v>19.16</v>
      </c>
      <c r="Z35" s="106">
        <v>20.34</v>
      </c>
      <c r="AA35" s="107">
        <v>22.36</v>
      </c>
      <c r="AB35" s="107">
        <v>18.670000000000002</v>
      </c>
      <c r="AC35" s="107">
        <v>17.89</v>
      </c>
      <c r="AD35" s="107">
        <v>13.75</v>
      </c>
      <c r="AE35" s="124">
        <v>19.579999999999998</v>
      </c>
      <c r="AF35" s="106">
        <v>25.62</v>
      </c>
      <c r="AG35" s="107">
        <v>22.26</v>
      </c>
      <c r="AH35" s="107">
        <v>36.75</v>
      </c>
      <c r="AI35" s="107">
        <v>21.04</v>
      </c>
      <c r="AJ35" s="107">
        <v>35.14</v>
      </c>
      <c r="AK35" s="105">
        <v>39.630000000000003</v>
      </c>
      <c r="AL35" s="108" t="s">
        <v>46</v>
      </c>
      <c r="AM35" s="109">
        <f>305.6638*134</f>
        <v>40958.949199999995</v>
      </c>
      <c r="AN35" s="109">
        <f>340*803.2904</f>
        <v>273118.73599999998</v>
      </c>
      <c r="AO35" s="109">
        <f>176*427.8809</f>
        <v>75307.038400000005</v>
      </c>
      <c r="AP35" s="109"/>
      <c r="AQ35" s="109"/>
      <c r="AR35" s="110"/>
      <c r="AS35" s="111"/>
      <c r="AT35" s="111"/>
    </row>
    <row r="36" spans="1:46" x14ac:dyDescent="0.35">
      <c r="A36" s="72"/>
      <c r="B36" s="6">
        <v>22.57</v>
      </c>
      <c r="C36" s="2">
        <v>27.12</v>
      </c>
      <c r="D36" s="2">
        <v>26.36</v>
      </c>
      <c r="E36" s="2">
        <v>20.79</v>
      </c>
      <c r="F36" s="2">
        <v>25.86</v>
      </c>
      <c r="G36" s="7">
        <v>25.56</v>
      </c>
      <c r="H36" s="6">
        <v>14.69</v>
      </c>
      <c r="I36" s="2">
        <v>13.49</v>
      </c>
      <c r="J36" s="2">
        <v>12.8</v>
      </c>
      <c r="K36" s="2">
        <v>17.87</v>
      </c>
      <c r="L36" s="2">
        <v>17.79</v>
      </c>
      <c r="M36" s="105">
        <v>14.1</v>
      </c>
      <c r="N36" s="106">
        <v>24.77</v>
      </c>
      <c r="O36" s="107">
        <v>21.34</v>
      </c>
      <c r="P36" s="107">
        <v>29.83</v>
      </c>
      <c r="Q36" s="107">
        <v>31.04</v>
      </c>
      <c r="R36" s="107">
        <v>21.96</v>
      </c>
      <c r="S36" s="105">
        <v>19.77</v>
      </c>
      <c r="T36" s="107">
        <v>19.37</v>
      </c>
      <c r="U36" s="107">
        <v>20.96</v>
      </c>
      <c r="V36" s="107">
        <v>19.95</v>
      </c>
      <c r="W36" s="107">
        <v>20.25</v>
      </c>
      <c r="X36" s="107">
        <v>19.850000000000001</v>
      </c>
      <c r="Y36" s="105">
        <v>19.04</v>
      </c>
      <c r="Z36" s="106">
        <v>19.18</v>
      </c>
      <c r="AA36" s="107">
        <v>20.51</v>
      </c>
      <c r="AB36" s="107">
        <v>16.73</v>
      </c>
      <c r="AC36" s="107">
        <v>19.850000000000001</v>
      </c>
      <c r="AD36" s="107">
        <v>12.27</v>
      </c>
      <c r="AE36" s="124">
        <v>18.52</v>
      </c>
      <c r="AF36" s="106">
        <v>20.47</v>
      </c>
      <c r="AG36" s="107">
        <v>21.12</v>
      </c>
      <c r="AH36" s="107">
        <v>38.69</v>
      </c>
      <c r="AI36" s="107">
        <v>22.33</v>
      </c>
      <c r="AJ36" s="107">
        <v>32.950000000000003</v>
      </c>
      <c r="AK36" s="105">
        <v>37.03</v>
      </c>
      <c r="AL36" s="112"/>
      <c r="AM36" s="111"/>
      <c r="AN36" s="111"/>
      <c r="AO36" s="111"/>
      <c r="AP36" s="111"/>
      <c r="AQ36" s="111"/>
      <c r="AR36" s="113"/>
      <c r="AS36" s="111"/>
      <c r="AT36" s="111"/>
    </row>
    <row r="37" spans="1:46" x14ac:dyDescent="0.35">
      <c r="A37" s="72"/>
      <c r="B37" s="6">
        <v>23.79</v>
      </c>
      <c r="C37" s="2">
        <v>28.01</v>
      </c>
      <c r="D37" s="2">
        <v>26.02</v>
      </c>
      <c r="E37" s="2">
        <v>21.67</v>
      </c>
      <c r="F37" s="2">
        <v>23.37</v>
      </c>
      <c r="G37" s="7">
        <v>23.67</v>
      </c>
      <c r="H37" s="6">
        <v>13.2</v>
      </c>
      <c r="I37" s="2">
        <v>16.579999999999998</v>
      </c>
      <c r="J37" s="2">
        <v>15.2</v>
      </c>
      <c r="K37" s="2">
        <v>16.05</v>
      </c>
      <c r="L37" s="2">
        <v>17.32</v>
      </c>
      <c r="M37" s="105">
        <v>15.27</v>
      </c>
      <c r="N37" s="106">
        <v>26.32</v>
      </c>
      <c r="O37" s="107">
        <v>23.09</v>
      </c>
      <c r="P37" s="107">
        <v>30.4</v>
      </c>
      <c r="Q37" s="107">
        <v>30.72</v>
      </c>
      <c r="R37" s="107">
        <v>22.05</v>
      </c>
      <c r="S37" s="105">
        <v>22.33</v>
      </c>
      <c r="T37" s="107">
        <v>19.73</v>
      </c>
      <c r="U37" s="107">
        <v>22.18</v>
      </c>
      <c r="V37" s="107">
        <v>20.67</v>
      </c>
      <c r="W37" s="107">
        <v>18.89</v>
      </c>
      <c r="X37" s="107">
        <v>20.61</v>
      </c>
      <c r="Y37" s="105">
        <v>18.52</v>
      </c>
      <c r="Z37" s="106">
        <v>20.94</v>
      </c>
      <c r="AA37" s="107">
        <v>16.850000000000001</v>
      </c>
      <c r="AB37" s="107">
        <v>17.21</v>
      </c>
      <c r="AC37" s="107">
        <v>14.76</v>
      </c>
      <c r="AD37" s="107">
        <v>16.350000000000001</v>
      </c>
      <c r="AE37" s="124">
        <v>18.52</v>
      </c>
      <c r="AF37" s="106">
        <v>26.08</v>
      </c>
      <c r="AG37" s="107">
        <v>20.6</v>
      </c>
      <c r="AH37" s="107">
        <v>36.81</v>
      </c>
      <c r="AI37" s="107">
        <v>26.82</v>
      </c>
      <c r="AJ37" s="107">
        <v>31.37</v>
      </c>
      <c r="AK37" s="105">
        <v>36.64</v>
      </c>
      <c r="AL37" s="112"/>
      <c r="AM37" s="111"/>
      <c r="AN37" s="111"/>
      <c r="AO37" s="111"/>
      <c r="AP37" s="111"/>
      <c r="AQ37" s="111"/>
      <c r="AR37" s="113"/>
      <c r="AS37" s="111"/>
      <c r="AT37" s="111"/>
    </row>
    <row r="38" spans="1:46" x14ac:dyDescent="0.35">
      <c r="A38" s="72"/>
      <c r="B38" s="6">
        <v>23.55</v>
      </c>
      <c r="C38" s="2">
        <v>25.09</v>
      </c>
      <c r="D38" s="2">
        <v>25.59</v>
      </c>
      <c r="E38" s="2">
        <v>21.54</v>
      </c>
      <c r="F38" s="2">
        <v>27.17</v>
      </c>
      <c r="G38" s="7">
        <v>23.98</v>
      </c>
      <c r="H38" s="6">
        <v>15.25</v>
      </c>
      <c r="I38" s="2">
        <v>16.21</v>
      </c>
      <c r="J38" s="2">
        <v>15.02</v>
      </c>
      <c r="K38" s="2">
        <v>16.940000000000001</v>
      </c>
      <c r="L38" s="2">
        <v>17.28</v>
      </c>
      <c r="M38" s="105">
        <v>15.15</v>
      </c>
      <c r="N38" s="106">
        <v>27.79</v>
      </c>
      <c r="O38" s="107">
        <v>20.14</v>
      </c>
      <c r="P38" s="107">
        <v>23.41</v>
      </c>
      <c r="Q38" s="107">
        <v>33.630000000000003</v>
      </c>
      <c r="R38" s="107">
        <v>24.57</v>
      </c>
      <c r="S38" s="105">
        <v>28.15</v>
      </c>
      <c r="T38" s="107">
        <v>19.61</v>
      </c>
      <c r="U38" s="107">
        <v>19.55</v>
      </c>
      <c r="V38" s="107">
        <v>22.08</v>
      </c>
      <c r="W38" s="107">
        <v>19.510000000000002</v>
      </c>
      <c r="X38" s="107">
        <v>20.86</v>
      </c>
      <c r="Y38" s="105">
        <v>21.53</v>
      </c>
      <c r="Z38" s="106">
        <v>16.64</v>
      </c>
      <c r="AA38" s="107">
        <v>17.36</v>
      </c>
      <c r="AB38" s="107">
        <v>18.98</v>
      </c>
      <c r="AC38" s="107">
        <v>16.34</v>
      </c>
      <c r="AD38" s="107">
        <v>14.17</v>
      </c>
      <c r="AE38" s="124">
        <v>21.74</v>
      </c>
      <c r="AF38" s="106">
        <v>27.67</v>
      </c>
      <c r="AG38" s="107">
        <v>22.51</v>
      </c>
      <c r="AH38" s="107">
        <v>37.799999999999997</v>
      </c>
      <c r="AI38" s="107">
        <v>23.8</v>
      </c>
      <c r="AJ38" s="107">
        <v>30.4</v>
      </c>
      <c r="AK38" s="105">
        <v>39.78</v>
      </c>
      <c r="AL38" s="112"/>
      <c r="AM38" s="111"/>
      <c r="AN38" s="111"/>
      <c r="AO38" s="111"/>
      <c r="AP38" s="111"/>
      <c r="AQ38" s="111"/>
      <c r="AR38" s="113"/>
      <c r="AS38" s="111"/>
      <c r="AT38" s="111"/>
    </row>
    <row r="39" spans="1:46" ht="15" thickBot="1" x14ac:dyDescent="0.4">
      <c r="A39" s="73"/>
      <c r="B39" s="8">
        <v>24.16</v>
      </c>
      <c r="C39" s="9">
        <v>24.93</v>
      </c>
      <c r="D39" s="9">
        <v>24.33</v>
      </c>
      <c r="E39" s="9">
        <v>22.21</v>
      </c>
      <c r="F39" s="9">
        <v>23.45</v>
      </c>
      <c r="G39" s="10">
        <v>24.06</v>
      </c>
      <c r="H39" s="8">
        <v>12.92</v>
      </c>
      <c r="I39" s="9">
        <v>14.53</v>
      </c>
      <c r="J39" s="9">
        <v>15.14</v>
      </c>
      <c r="K39" s="9">
        <v>15.9</v>
      </c>
      <c r="L39" s="9">
        <v>18.2</v>
      </c>
      <c r="M39" s="114">
        <v>15.3</v>
      </c>
      <c r="N39" s="115">
        <v>27.82</v>
      </c>
      <c r="O39" s="116">
        <v>20.149999999999999</v>
      </c>
      <c r="P39" s="116">
        <v>24.63</v>
      </c>
      <c r="Q39" s="116">
        <v>28.15</v>
      </c>
      <c r="R39" s="116">
        <v>23.84</v>
      </c>
      <c r="S39" s="114">
        <v>26.01</v>
      </c>
      <c r="T39" s="116">
        <v>20.41</v>
      </c>
      <c r="U39" s="116">
        <v>21.58</v>
      </c>
      <c r="V39" s="116">
        <v>21.52</v>
      </c>
      <c r="W39" s="116">
        <v>21.17</v>
      </c>
      <c r="X39" s="116">
        <v>21.18</v>
      </c>
      <c r="Y39" s="114">
        <v>18.52</v>
      </c>
      <c r="Z39" s="115">
        <v>24.24</v>
      </c>
      <c r="AA39" s="116">
        <v>18.649999999999999</v>
      </c>
      <c r="AB39" s="116">
        <v>20.04</v>
      </c>
      <c r="AC39" s="116">
        <v>14.82</v>
      </c>
      <c r="AD39" s="116">
        <v>17.86</v>
      </c>
      <c r="AE39" s="125">
        <v>15.14</v>
      </c>
      <c r="AF39" s="115">
        <v>28.57</v>
      </c>
      <c r="AG39" s="116">
        <v>22.15</v>
      </c>
      <c r="AH39" s="116">
        <v>34.17</v>
      </c>
      <c r="AI39" s="116">
        <v>24.83</v>
      </c>
      <c r="AJ39" s="116">
        <v>28.15</v>
      </c>
      <c r="AK39" s="114">
        <v>39.630000000000003</v>
      </c>
      <c r="AL39" s="117"/>
      <c r="AM39" s="118"/>
      <c r="AN39" s="118"/>
      <c r="AO39" s="118"/>
      <c r="AP39" s="118"/>
      <c r="AQ39" s="118"/>
      <c r="AR39" s="119"/>
      <c r="AS39" s="111"/>
      <c r="AT39" s="111"/>
    </row>
    <row r="40" spans="1:46" x14ac:dyDescent="0.35">
      <c r="A40" s="71" t="s">
        <v>143</v>
      </c>
      <c r="B40" s="3">
        <v>25.44</v>
      </c>
      <c r="C40" s="4">
        <v>23.45</v>
      </c>
      <c r="D40" s="4">
        <v>23.61</v>
      </c>
      <c r="E40" s="4">
        <v>16.03</v>
      </c>
      <c r="F40" s="4">
        <v>18.48</v>
      </c>
      <c r="G40" s="5">
        <v>24.75</v>
      </c>
      <c r="H40" s="3">
        <v>13.21</v>
      </c>
      <c r="I40" s="4">
        <v>16.579999999999998</v>
      </c>
      <c r="J40" s="4">
        <v>14.74</v>
      </c>
      <c r="K40" s="4">
        <v>14.98</v>
      </c>
      <c r="L40" s="4">
        <v>15.37</v>
      </c>
      <c r="M40" s="120">
        <v>16.47</v>
      </c>
      <c r="N40" s="121">
        <v>21.96</v>
      </c>
      <c r="O40" s="122">
        <v>21.93</v>
      </c>
      <c r="P40" s="122">
        <v>30.05</v>
      </c>
      <c r="Q40" s="122">
        <v>24.19</v>
      </c>
      <c r="R40" s="122">
        <v>22.7</v>
      </c>
      <c r="S40" s="120">
        <v>28.92</v>
      </c>
      <c r="T40" s="122">
        <v>23.38</v>
      </c>
      <c r="U40" s="122">
        <v>22.33</v>
      </c>
      <c r="V40" s="122">
        <v>19.45</v>
      </c>
      <c r="W40" s="122">
        <v>21.09</v>
      </c>
      <c r="X40" s="122">
        <v>19.45</v>
      </c>
      <c r="Y40" s="120">
        <v>20.059999999999999</v>
      </c>
      <c r="Z40" s="121">
        <v>19.68</v>
      </c>
      <c r="AA40" s="122">
        <v>17.260000000000002</v>
      </c>
      <c r="AB40" s="122">
        <v>21.61</v>
      </c>
      <c r="AC40" s="122">
        <v>25.05</v>
      </c>
      <c r="AD40" s="122">
        <v>18.59</v>
      </c>
      <c r="AE40" s="120">
        <v>10.94</v>
      </c>
      <c r="AF40" s="127">
        <v>26.67</v>
      </c>
      <c r="AG40" s="127">
        <v>40.4</v>
      </c>
      <c r="AH40" s="127">
        <v>35.97</v>
      </c>
      <c r="AI40" s="127">
        <v>19.329999999999998</v>
      </c>
      <c r="AJ40" s="127">
        <v>25.24</v>
      </c>
      <c r="AK40" s="127">
        <v>30.92</v>
      </c>
      <c r="AL40" s="121" t="s">
        <v>45</v>
      </c>
      <c r="AM40" s="122">
        <v>2339906.1592000001</v>
      </c>
      <c r="AN40" s="122">
        <v>1967287.8496000001</v>
      </c>
      <c r="AO40" s="122">
        <v>2199890.7174999998</v>
      </c>
      <c r="AP40" s="122">
        <v>1040903.1249000001</v>
      </c>
      <c r="AQ40" s="122">
        <v>378048</v>
      </c>
      <c r="AR40" s="120">
        <v>925413.45220000006</v>
      </c>
      <c r="AS40" s="111"/>
      <c r="AT40" s="111"/>
    </row>
    <row r="41" spans="1:46" x14ac:dyDescent="0.35">
      <c r="A41" s="72"/>
      <c r="B41" s="6">
        <v>25.44</v>
      </c>
      <c r="C41" s="2">
        <v>23.93</v>
      </c>
      <c r="D41" s="2">
        <v>22.58</v>
      </c>
      <c r="E41" s="2">
        <v>18.53</v>
      </c>
      <c r="F41" s="2">
        <v>18.989999999999998</v>
      </c>
      <c r="G41" s="7">
        <v>24.34</v>
      </c>
      <c r="H41" s="6">
        <v>14.75</v>
      </c>
      <c r="I41" s="2">
        <v>14.19</v>
      </c>
      <c r="J41" s="2">
        <v>14.73</v>
      </c>
      <c r="K41" s="2">
        <v>11.97</v>
      </c>
      <c r="L41" s="2">
        <v>15.8</v>
      </c>
      <c r="M41" s="105">
        <v>16.34</v>
      </c>
      <c r="N41" s="106">
        <v>18.579999999999998</v>
      </c>
      <c r="O41" s="107">
        <v>23.35</v>
      </c>
      <c r="P41" s="107">
        <v>27.45</v>
      </c>
      <c r="Q41" s="107">
        <v>24.95</v>
      </c>
      <c r="R41" s="107">
        <v>20.38</v>
      </c>
      <c r="S41" s="105">
        <v>28.99</v>
      </c>
      <c r="T41" s="107">
        <v>22.01</v>
      </c>
      <c r="U41" s="107">
        <v>19.38</v>
      </c>
      <c r="V41" s="107">
        <v>18.989999999999998</v>
      </c>
      <c r="W41" s="107">
        <v>19.260000000000002</v>
      </c>
      <c r="X41" s="107">
        <v>21.45</v>
      </c>
      <c r="Y41" s="105">
        <v>20.67</v>
      </c>
      <c r="Z41" s="106">
        <v>21.84</v>
      </c>
      <c r="AA41" s="107">
        <v>21.07</v>
      </c>
      <c r="AB41" s="107">
        <v>19</v>
      </c>
      <c r="AC41" s="107">
        <v>16.47</v>
      </c>
      <c r="AD41" s="107">
        <v>20.55</v>
      </c>
      <c r="AE41" s="105">
        <v>10.69</v>
      </c>
      <c r="AF41" s="107">
        <v>25.93</v>
      </c>
      <c r="AG41" s="107">
        <v>41.9</v>
      </c>
      <c r="AH41" s="107">
        <v>38.200000000000003</v>
      </c>
      <c r="AI41" s="107">
        <v>17.86</v>
      </c>
      <c r="AJ41" s="107">
        <v>25.28</v>
      </c>
      <c r="AK41" s="107">
        <v>35.840000000000003</v>
      </c>
      <c r="AL41" s="108" t="s">
        <v>46</v>
      </c>
      <c r="AM41" s="109">
        <f>193*511.3176</f>
        <v>98684.296800000011</v>
      </c>
      <c r="AN41" s="109">
        <f>141*725.9082</f>
        <v>102353.05619999999</v>
      </c>
      <c r="AO41" s="109">
        <f>438.6735*253</f>
        <v>110984.3955</v>
      </c>
      <c r="AP41" s="109">
        <f>1240*71.6</f>
        <v>88784</v>
      </c>
      <c r="AQ41" s="109">
        <f>176*72.1648</f>
        <v>12701.004800000001</v>
      </c>
      <c r="AR41" s="110">
        <f>110*52.1364</f>
        <v>5735.0039999999999</v>
      </c>
      <c r="AS41" s="111"/>
      <c r="AT41" s="111"/>
    </row>
    <row r="42" spans="1:46" x14ac:dyDescent="0.35">
      <c r="A42" s="72"/>
      <c r="B42" s="6">
        <v>22.84</v>
      </c>
      <c r="C42" s="2">
        <v>24.23</v>
      </c>
      <c r="D42" s="2">
        <v>22.37</v>
      </c>
      <c r="E42" s="2">
        <v>16.82</v>
      </c>
      <c r="F42" s="2">
        <v>22.34</v>
      </c>
      <c r="G42" s="7">
        <v>25.47</v>
      </c>
      <c r="H42" s="6">
        <v>13.63</v>
      </c>
      <c r="I42" s="2">
        <v>14.59</v>
      </c>
      <c r="J42" s="2">
        <v>14.69</v>
      </c>
      <c r="K42" s="2">
        <v>13.09</v>
      </c>
      <c r="L42" s="2">
        <v>16.12</v>
      </c>
      <c r="M42" s="105">
        <v>16.47</v>
      </c>
      <c r="N42" s="106">
        <v>23.15</v>
      </c>
      <c r="O42" s="107">
        <v>24.55</v>
      </c>
      <c r="P42" s="107">
        <v>27.09</v>
      </c>
      <c r="Q42" s="107">
        <v>27.68</v>
      </c>
      <c r="R42" s="107">
        <v>20.07</v>
      </c>
      <c r="S42" s="105">
        <v>28.04</v>
      </c>
      <c r="T42" s="107">
        <v>22.22</v>
      </c>
      <c r="U42" s="107">
        <v>18.71</v>
      </c>
      <c r="V42" s="107">
        <v>19.64</v>
      </c>
      <c r="W42" s="107">
        <v>18.18</v>
      </c>
      <c r="X42" s="107">
        <v>20.51</v>
      </c>
      <c r="Y42" s="105">
        <v>21.15</v>
      </c>
      <c r="Z42" s="106">
        <v>23.42</v>
      </c>
      <c r="AA42" s="107">
        <v>16.98</v>
      </c>
      <c r="AB42" s="107">
        <v>22.26</v>
      </c>
      <c r="AC42" s="107">
        <v>14.75</v>
      </c>
      <c r="AD42" s="107">
        <v>18.82</v>
      </c>
      <c r="AE42" s="105">
        <v>9.32</v>
      </c>
      <c r="AF42" s="107">
        <v>23.62</v>
      </c>
      <c r="AG42" s="107">
        <v>38.99</v>
      </c>
      <c r="AH42" s="107">
        <v>31.59</v>
      </c>
      <c r="AI42" s="107">
        <v>18.98</v>
      </c>
      <c r="AJ42" s="107">
        <v>25.26</v>
      </c>
      <c r="AK42" s="107">
        <v>40.32</v>
      </c>
      <c r="AL42" s="112"/>
      <c r="AM42" s="111"/>
      <c r="AN42" s="111"/>
      <c r="AO42" s="111"/>
      <c r="AP42" s="111"/>
      <c r="AQ42" s="111"/>
      <c r="AR42" s="113"/>
      <c r="AS42" s="111"/>
      <c r="AT42" s="111"/>
    </row>
    <row r="43" spans="1:46" x14ac:dyDescent="0.35">
      <c r="A43" s="72"/>
      <c r="B43" s="6">
        <v>23.28</v>
      </c>
      <c r="C43" s="2">
        <v>24.24</v>
      </c>
      <c r="D43" s="2">
        <v>22.57</v>
      </c>
      <c r="E43" s="2">
        <v>19.53</v>
      </c>
      <c r="F43" s="2">
        <v>24.21</v>
      </c>
      <c r="G43" s="7">
        <v>24.07</v>
      </c>
      <c r="H43" s="6">
        <v>13.65</v>
      </c>
      <c r="I43" s="2">
        <v>15.65</v>
      </c>
      <c r="J43" s="2">
        <v>15.89</v>
      </c>
      <c r="K43" s="2">
        <v>14.86</v>
      </c>
      <c r="L43" s="2">
        <v>15.46</v>
      </c>
      <c r="M43" s="105">
        <v>15.73</v>
      </c>
      <c r="N43" s="106">
        <v>22.11</v>
      </c>
      <c r="O43" s="107">
        <v>22.18</v>
      </c>
      <c r="P43" s="107">
        <v>27.27</v>
      </c>
      <c r="Q43" s="107">
        <v>28.23</v>
      </c>
      <c r="R43" s="107">
        <v>17.920000000000002</v>
      </c>
      <c r="S43" s="105">
        <v>31.81</v>
      </c>
      <c r="T43" s="107">
        <v>19.420000000000002</v>
      </c>
      <c r="U43" s="107">
        <v>19.87</v>
      </c>
      <c r="V43" s="107">
        <v>21.24</v>
      </c>
      <c r="W43" s="107">
        <v>22.23</v>
      </c>
      <c r="X43" s="107">
        <v>17.95</v>
      </c>
      <c r="Y43" s="105">
        <v>19.64</v>
      </c>
      <c r="Z43" s="106">
        <v>17.97</v>
      </c>
      <c r="AA43" s="107">
        <v>21.63</v>
      </c>
      <c r="AB43" s="107">
        <v>20.61</v>
      </c>
      <c r="AC43" s="107">
        <v>16.39</v>
      </c>
      <c r="AD43" s="107">
        <v>22.57</v>
      </c>
      <c r="AE43" s="105">
        <v>9.99</v>
      </c>
      <c r="AF43" s="107">
        <v>25.67</v>
      </c>
      <c r="AG43" s="107">
        <v>36.83</v>
      </c>
      <c r="AH43" s="107">
        <v>32.25</v>
      </c>
      <c r="AI43" s="107">
        <v>18.079999999999998</v>
      </c>
      <c r="AJ43" s="107">
        <v>28.18</v>
      </c>
      <c r="AK43" s="107">
        <v>28.55</v>
      </c>
      <c r="AL43" s="112"/>
      <c r="AM43" s="111"/>
      <c r="AN43" s="111"/>
      <c r="AO43" s="111"/>
      <c r="AP43" s="111"/>
      <c r="AQ43" s="111"/>
      <c r="AR43" s="113"/>
      <c r="AS43" s="111"/>
      <c r="AT43" s="111"/>
    </row>
    <row r="44" spans="1:46" x14ac:dyDescent="0.35">
      <c r="A44" s="72"/>
      <c r="B44" s="6">
        <v>23.92</v>
      </c>
      <c r="C44" s="2">
        <v>23.62</v>
      </c>
      <c r="D44" s="2">
        <v>22.83</v>
      </c>
      <c r="E44" s="2">
        <v>17.100000000000001</v>
      </c>
      <c r="F44" s="2">
        <v>19.48</v>
      </c>
      <c r="G44" s="7">
        <v>26.63</v>
      </c>
      <c r="H44" s="6">
        <v>13.41</v>
      </c>
      <c r="I44" s="2">
        <v>19.04</v>
      </c>
      <c r="J44" s="2">
        <v>15.33</v>
      </c>
      <c r="K44" s="2">
        <v>14.09</v>
      </c>
      <c r="L44" s="2">
        <v>15.57</v>
      </c>
      <c r="M44" s="105">
        <v>16.12</v>
      </c>
      <c r="N44" s="106">
        <v>19.760000000000002</v>
      </c>
      <c r="O44" s="107">
        <v>21.38</v>
      </c>
      <c r="P44" s="107">
        <v>26.56</v>
      </c>
      <c r="Q44" s="107">
        <v>29.78</v>
      </c>
      <c r="R44" s="107">
        <v>18.329999999999998</v>
      </c>
      <c r="S44" s="105">
        <v>30.14</v>
      </c>
      <c r="T44" s="107">
        <v>20.91</v>
      </c>
      <c r="U44" s="107">
        <v>19.309999999999999</v>
      </c>
      <c r="V44" s="107">
        <v>22.05</v>
      </c>
      <c r="W44" s="107">
        <v>20.309999999999999</v>
      </c>
      <c r="X44" s="107">
        <v>22.12</v>
      </c>
      <c r="Y44" s="105">
        <v>20.13</v>
      </c>
      <c r="Z44" s="106">
        <v>20.14</v>
      </c>
      <c r="AA44" s="107">
        <v>17.149999999999999</v>
      </c>
      <c r="AB44" s="107">
        <v>21.73</v>
      </c>
      <c r="AC44" s="107">
        <v>21.53</v>
      </c>
      <c r="AD44" s="107">
        <v>18.440000000000001</v>
      </c>
      <c r="AE44" s="105">
        <v>9.9</v>
      </c>
      <c r="AF44" s="107">
        <v>26.52</v>
      </c>
      <c r="AG44" s="107">
        <v>38.39</v>
      </c>
      <c r="AH44" s="107">
        <v>38.909999999999997</v>
      </c>
      <c r="AI44" s="107">
        <v>19.84</v>
      </c>
      <c r="AJ44" s="107">
        <v>28.3</v>
      </c>
      <c r="AK44" s="107">
        <v>31.72</v>
      </c>
      <c r="AL44" s="112"/>
      <c r="AM44" s="111"/>
      <c r="AN44" s="111"/>
      <c r="AO44" s="111"/>
      <c r="AP44" s="111"/>
      <c r="AQ44" s="111"/>
      <c r="AR44" s="113"/>
      <c r="AS44" s="111"/>
      <c r="AT44" s="111"/>
    </row>
    <row r="45" spans="1:46" ht="15" thickBot="1" x14ac:dyDescent="0.4">
      <c r="A45" s="73"/>
      <c r="B45" s="8">
        <v>24.47</v>
      </c>
      <c r="C45" s="9">
        <v>24.51</v>
      </c>
      <c r="D45" s="9">
        <v>22.89</v>
      </c>
      <c r="E45" s="9">
        <v>17.02</v>
      </c>
      <c r="F45" s="9">
        <v>18.170000000000002</v>
      </c>
      <c r="G45" s="10">
        <v>26.61</v>
      </c>
      <c r="H45" s="8">
        <v>13.27</v>
      </c>
      <c r="I45" s="9">
        <v>13.32</v>
      </c>
      <c r="J45" s="9">
        <v>15.55</v>
      </c>
      <c r="K45" s="9">
        <v>14.61</v>
      </c>
      <c r="L45" s="9">
        <v>14.46</v>
      </c>
      <c r="M45" s="114">
        <v>15.19</v>
      </c>
      <c r="N45" s="115">
        <v>24.16</v>
      </c>
      <c r="O45" s="116">
        <v>20.53</v>
      </c>
      <c r="P45" s="116">
        <v>28</v>
      </c>
      <c r="Q45" s="116">
        <v>30.83</v>
      </c>
      <c r="R45" s="116">
        <v>25.73</v>
      </c>
      <c r="S45" s="114">
        <v>28.63</v>
      </c>
      <c r="T45" s="116">
        <v>20.95</v>
      </c>
      <c r="U45" s="116">
        <v>21.88</v>
      </c>
      <c r="V45" s="116">
        <v>20.07</v>
      </c>
      <c r="W45" s="116">
        <v>21.17</v>
      </c>
      <c r="X45" s="116">
        <v>19.45</v>
      </c>
      <c r="Y45" s="114">
        <v>18.64</v>
      </c>
      <c r="Z45" s="115">
        <v>16.8</v>
      </c>
      <c r="AA45" s="116">
        <v>17.36</v>
      </c>
      <c r="AB45" s="116">
        <v>17.63</v>
      </c>
      <c r="AC45" s="116">
        <v>18.170000000000002</v>
      </c>
      <c r="AD45" s="116">
        <v>20.6</v>
      </c>
      <c r="AE45" s="114">
        <v>11.32</v>
      </c>
      <c r="AF45" s="116">
        <v>24.67</v>
      </c>
      <c r="AG45" s="116">
        <v>39.33</v>
      </c>
      <c r="AH45" s="116">
        <v>42.26</v>
      </c>
      <c r="AI45" s="116">
        <v>19.98</v>
      </c>
      <c r="AJ45" s="116">
        <v>26.89</v>
      </c>
      <c r="AK45" s="116">
        <v>29.77</v>
      </c>
      <c r="AL45" s="117"/>
      <c r="AM45" s="118"/>
      <c r="AN45" s="118"/>
      <c r="AO45" s="118"/>
      <c r="AP45" s="118"/>
      <c r="AQ45" s="118"/>
      <c r="AR45" s="119"/>
      <c r="AS45" s="111"/>
      <c r="AT45" s="111"/>
    </row>
    <row r="46" spans="1:46" x14ac:dyDescent="0.35">
      <c r="A46" s="71" t="s">
        <v>42</v>
      </c>
      <c r="B46" s="3">
        <v>27.43</v>
      </c>
      <c r="C46" s="4">
        <v>27.79</v>
      </c>
      <c r="D46" s="4">
        <v>25.53</v>
      </c>
      <c r="E46" s="4">
        <v>21.27</v>
      </c>
      <c r="F46" s="4">
        <v>22.87</v>
      </c>
      <c r="G46" s="5">
        <v>21.26</v>
      </c>
      <c r="H46" s="3">
        <v>23.49</v>
      </c>
      <c r="I46" s="4">
        <v>19.53</v>
      </c>
      <c r="J46" s="4">
        <v>18.93</v>
      </c>
      <c r="K46" s="4">
        <v>18.82</v>
      </c>
      <c r="L46" s="4">
        <v>17.170000000000002</v>
      </c>
      <c r="M46" s="120">
        <v>16.13</v>
      </c>
      <c r="N46" s="121">
        <v>19.59</v>
      </c>
      <c r="O46" s="122"/>
      <c r="P46" s="122">
        <v>20.350000000000001</v>
      </c>
      <c r="Q46" s="122">
        <v>20.47</v>
      </c>
      <c r="R46" s="122"/>
      <c r="S46" s="120">
        <v>18.62</v>
      </c>
      <c r="T46" s="122">
        <v>16.649999999999999</v>
      </c>
      <c r="U46" s="122">
        <v>17.739999999999998</v>
      </c>
      <c r="V46" s="122">
        <v>17.2</v>
      </c>
      <c r="W46" s="122">
        <v>15.43</v>
      </c>
      <c r="X46" s="122">
        <v>14.52</v>
      </c>
      <c r="Y46" s="120">
        <v>16.100000000000001</v>
      </c>
      <c r="Z46" s="121">
        <v>11.46</v>
      </c>
      <c r="AA46" s="122"/>
      <c r="AB46" s="122">
        <v>12.04</v>
      </c>
      <c r="AC46" s="122">
        <v>11.39</v>
      </c>
      <c r="AD46" s="122"/>
      <c r="AE46" s="120">
        <v>11.65</v>
      </c>
      <c r="AF46" s="121">
        <v>40.26</v>
      </c>
      <c r="AG46" s="122">
        <v>40.04</v>
      </c>
      <c r="AH46" s="122">
        <v>38.380000000000003</v>
      </c>
      <c r="AI46" s="122">
        <v>44.02</v>
      </c>
      <c r="AJ46" s="122">
        <v>44.39</v>
      </c>
      <c r="AK46" s="123">
        <v>41.4</v>
      </c>
      <c r="AL46" s="121" t="s">
        <v>45</v>
      </c>
      <c r="AM46" s="122"/>
      <c r="AN46" s="122">
        <v>2886125.8931</v>
      </c>
      <c r="AO46" s="122"/>
      <c r="AP46" s="122"/>
      <c r="AQ46" s="122">
        <v>2465510.415</v>
      </c>
      <c r="AR46" s="120"/>
      <c r="AS46" s="111"/>
      <c r="AT46" s="111"/>
    </row>
    <row r="47" spans="1:46" x14ac:dyDescent="0.35">
      <c r="A47" s="72"/>
      <c r="B47" s="6">
        <v>24.32</v>
      </c>
      <c r="C47" s="2">
        <v>25.7</v>
      </c>
      <c r="D47" s="2">
        <v>24.47</v>
      </c>
      <c r="E47" s="2">
        <v>21.47</v>
      </c>
      <c r="F47" s="2">
        <v>20.51</v>
      </c>
      <c r="G47" s="7">
        <v>21.07</v>
      </c>
      <c r="H47" s="6">
        <v>23.55</v>
      </c>
      <c r="I47" s="2">
        <v>21.93</v>
      </c>
      <c r="J47" s="2">
        <v>17.45</v>
      </c>
      <c r="K47" s="2">
        <v>19.32</v>
      </c>
      <c r="L47" s="2">
        <v>15.67</v>
      </c>
      <c r="M47" s="105">
        <v>16</v>
      </c>
      <c r="N47" s="106">
        <v>20.81</v>
      </c>
      <c r="O47" s="107"/>
      <c r="P47" s="107">
        <v>19.05</v>
      </c>
      <c r="Q47" s="107">
        <v>19.63</v>
      </c>
      <c r="R47" s="107"/>
      <c r="S47" s="105">
        <v>19.62</v>
      </c>
      <c r="T47" s="107">
        <v>15.84</v>
      </c>
      <c r="U47" s="107">
        <v>18.329999999999998</v>
      </c>
      <c r="V47" s="107">
        <v>17.940000000000001</v>
      </c>
      <c r="W47" s="107">
        <v>17.63</v>
      </c>
      <c r="X47" s="107">
        <v>13.44</v>
      </c>
      <c r="Y47" s="105">
        <v>15.88</v>
      </c>
      <c r="Z47" s="106">
        <v>10.34</v>
      </c>
      <c r="AA47" s="107"/>
      <c r="AB47" s="107">
        <v>11.44</v>
      </c>
      <c r="AC47" s="107">
        <v>13.48</v>
      </c>
      <c r="AD47" s="107"/>
      <c r="AE47" s="105">
        <v>12.15</v>
      </c>
      <c r="AF47" s="106">
        <v>40.72</v>
      </c>
      <c r="AG47" s="107">
        <v>44.39</v>
      </c>
      <c r="AH47" s="107">
        <v>39.630000000000003</v>
      </c>
      <c r="AI47" s="107">
        <v>44.55</v>
      </c>
      <c r="AJ47" s="107">
        <v>44.35</v>
      </c>
      <c r="AK47" s="124">
        <v>40.53</v>
      </c>
      <c r="AL47" s="108" t="s">
        <v>46</v>
      </c>
      <c r="AM47" s="109"/>
      <c r="AN47" s="109">
        <f>392*507.6961</f>
        <v>199016.87119999999</v>
      </c>
      <c r="AO47" s="109"/>
      <c r="AP47" s="109"/>
      <c r="AQ47" s="109">
        <f>695*345.1932</f>
        <v>239909.274</v>
      </c>
      <c r="AR47" s="110"/>
      <c r="AS47" s="111"/>
      <c r="AT47" s="111"/>
    </row>
    <row r="48" spans="1:46" x14ac:dyDescent="0.35">
      <c r="A48" s="72"/>
      <c r="B48" s="6">
        <v>24.22</v>
      </c>
      <c r="C48" s="2">
        <v>26.39</v>
      </c>
      <c r="D48" s="2">
        <v>24.47</v>
      </c>
      <c r="E48" s="2">
        <v>21.8</v>
      </c>
      <c r="F48" s="2">
        <v>20.64</v>
      </c>
      <c r="G48" s="7">
        <v>20.59</v>
      </c>
      <c r="H48" s="6">
        <v>25.31</v>
      </c>
      <c r="I48" s="2">
        <v>19.82</v>
      </c>
      <c r="J48" s="2">
        <v>16.79</v>
      </c>
      <c r="K48" s="2">
        <v>19.559999999999999</v>
      </c>
      <c r="L48" s="2">
        <v>16.97</v>
      </c>
      <c r="M48" s="105">
        <v>14.02</v>
      </c>
      <c r="N48" s="106">
        <v>19.55</v>
      </c>
      <c r="O48" s="107"/>
      <c r="P48" s="107">
        <v>18.510000000000002</v>
      </c>
      <c r="Q48" s="107">
        <v>20.41</v>
      </c>
      <c r="R48" s="107"/>
      <c r="S48" s="105">
        <v>18.739999999999998</v>
      </c>
      <c r="T48" s="107">
        <v>16.850000000000001</v>
      </c>
      <c r="U48" s="107">
        <v>17.54</v>
      </c>
      <c r="V48" s="107">
        <v>19.8</v>
      </c>
      <c r="W48" s="107">
        <v>15.2</v>
      </c>
      <c r="X48" s="107">
        <v>14.89</v>
      </c>
      <c r="Y48" s="105">
        <v>14.8</v>
      </c>
      <c r="Z48" s="106">
        <v>12.68</v>
      </c>
      <c r="AA48" s="107"/>
      <c r="AB48" s="107">
        <v>11.37</v>
      </c>
      <c r="AC48" s="107">
        <v>10.48</v>
      </c>
      <c r="AD48" s="107"/>
      <c r="AE48" s="105">
        <v>11.9</v>
      </c>
      <c r="AF48" s="106">
        <v>40.08</v>
      </c>
      <c r="AG48" s="107">
        <v>42.51</v>
      </c>
      <c r="AH48" s="107">
        <v>40.43</v>
      </c>
      <c r="AI48" s="107">
        <v>42.05</v>
      </c>
      <c r="AJ48" s="107">
        <v>42.28</v>
      </c>
      <c r="AK48" s="124">
        <v>40.200000000000003</v>
      </c>
      <c r="AL48" s="112"/>
      <c r="AM48" s="111"/>
      <c r="AN48" s="111"/>
      <c r="AO48" s="111"/>
      <c r="AP48" s="111"/>
      <c r="AQ48" s="111"/>
      <c r="AR48" s="113"/>
      <c r="AS48" s="111"/>
      <c r="AT48" s="111"/>
    </row>
    <row r="49" spans="1:46" x14ac:dyDescent="0.35">
      <c r="A49" s="72"/>
      <c r="B49" s="6">
        <v>24.84</v>
      </c>
      <c r="C49" s="2">
        <v>26.85</v>
      </c>
      <c r="D49" s="2">
        <v>24.78</v>
      </c>
      <c r="E49" s="2">
        <v>20.41</v>
      </c>
      <c r="F49" s="2">
        <v>21.79</v>
      </c>
      <c r="G49" s="7">
        <v>19.96</v>
      </c>
      <c r="H49" s="6">
        <v>25.54</v>
      </c>
      <c r="I49" s="2">
        <v>18.809999999999999</v>
      </c>
      <c r="J49" s="2">
        <v>17.09</v>
      </c>
      <c r="K49" s="2">
        <v>17.559999999999999</v>
      </c>
      <c r="L49" s="2">
        <v>16.41</v>
      </c>
      <c r="M49" s="105">
        <v>14.96</v>
      </c>
      <c r="N49" s="106">
        <v>20.2</v>
      </c>
      <c r="O49" s="107"/>
      <c r="P49" s="107">
        <v>18.89</v>
      </c>
      <c r="Q49" s="107">
        <v>20.28</v>
      </c>
      <c r="R49" s="107"/>
      <c r="S49" s="105">
        <v>18.46</v>
      </c>
      <c r="T49" s="107">
        <v>17.84</v>
      </c>
      <c r="U49" s="107">
        <v>17.329999999999998</v>
      </c>
      <c r="V49" s="107">
        <v>17.329999999999998</v>
      </c>
      <c r="W49" s="107">
        <v>14.04</v>
      </c>
      <c r="X49" s="107">
        <v>14.35</v>
      </c>
      <c r="Y49" s="105">
        <v>16.850000000000001</v>
      </c>
      <c r="Z49" s="106">
        <v>12.15</v>
      </c>
      <c r="AA49" s="107"/>
      <c r="AB49" s="107">
        <v>12.7</v>
      </c>
      <c r="AC49" s="107">
        <v>11.31</v>
      </c>
      <c r="AD49" s="107"/>
      <c r="AE49" s="105">
        <v>13.19</v>
      </c>
      <c r="AF49" s="106">
        <v>41.92</v>
      </c>
      <c r="AG49" s="107">
        <v>43.8</v>
      </c>
      <c r="AH49" s="107">
        <v>37.869999999999997</v>
      </c>
      <c r="AI49" s="107">
        <v>39.54</v>
      </c>
      <c r="AJ49" s="107">
        <v>43.55</v>
      </c>
      <c r="AK49" s="124">
        <v>40.299999999999997</v>
      </c>
      <c r="AL49" s="112"/>
      <c r="AM49" s="111"/>
      <c r="AN49" s="111"/>
      <c r="AO49" s="111"/>
      <c r="AP49" s="111"/>
      <c r="AQ49" s="111"/>
      <c r="AR49" s="113"/>
      <c r="AS49" s="111"/>
      <c r="AT49" s="111"/>
    </row>
    <row r="50" spans="1:46" x14ac:dyDescent="0.35">
      <c r="A50" s="72"/>
      <c r="B50" s="6">
        <v>25.87</v>
      </c>
      <c r="C50" s="2">
        <v>25.78</v>
      </c>
      <c r="D50" s="2">
        <v>24.62</v>
      </c>
      <c r="E50" s="2">
        <v>21.23</v>
      </c>
      <c r="F50" s="2">
        <v>20.79</v>
      </c>
      <c r="G50" s="7">
        <v>20.8</v>
      </c>
      <c r="H50" s="6">
        <v>24.14</v>
      </c>
      <c r="I50" s="2">
        <v>20.34</v>
      </c>
      <c r="J50" s="2">
        <v>16.57</v>
      </c>
      <c r="K50" s="2">
        <v>19.77</v>
      </c>
      <c r="L50" s="2">
        <v>19.97</v>
      </c>
      <c r="M50" s="105">
        <v>13.14</v>
      </c>
      <c r="N50" s="106">
        <v>20.18</v>
      </c>
      <c r="O50" s="107"/>
      <c r="P50" s="107">
        <v>17.420000000000002</v>
      </c>
      <c r="Q50" s="107">
        <v>21.27</v>
      </c>
      <c r="R50" s="107"/>
      <c r="S50" s="105">
        <v>18.239999999999998</v>
      </c>
      <c r="T50" s="107">
        <v>18.2</v>
      </c>
      <c r="U50" s="107">
        <v>18.82</v>
      </c>
      <c r="V50" s="107">
        <v>15.11</v>
      </c>
      <c r="W50" s="107">
        <v>13.93</v>
      </c>
      <c r="X50" s="107">
        <v>15.1</v>
      </c>
      <c r="Y50" s="105">
        <v>15.97</v>
      </c>
      <c r="Z50" s="106">
        <v>10.77</v>
      </c>
      <c r="AA50" s="107"/>
      <c r="AB50" s="107">
        <v>11.6</v>
      </c>
      <c r="AC50" s="107">
        <v>12.75</v>
      </c>
      <c r="AD50" s="107"/>
      <c r="AE50" s="105">
        <v>13.63</v>
      </c>
      <c r="AF50" s="106">
        <v>40.520000000000003</v>
      </c>
      <c r="AG50" s="107">
        <v>42.65</v>
      </c>
      <c r="AH50" s="107">
        <v>38.299999999999997</v>
      </c>
      <c r="AI50" s="107">
        <v>37.020000000000003</v>
      </c>
      <c r="AJ50" s="107">
        <v>44.09</v>
      </c>
      <c r="AK50" s="124">
        <v>40.130000000000003</v>
      </c>
      <c r="AL50" s="112"/>
      <c r="AM50" s="111"/>
      <c r="AN50" s="111"/>
      <c r="AO50" s="111"/>
      <c r="AP50" s="111"/>
      <c r="AQ50" s="111"/>
      <c r="AR50" s="113"/>
      <c r="AS50" s="111"/>
      <c r="AT50" s="111"/>
    </row>
    <row r="51" spans="1:46" ht="15" thickBot="1" x14ac:dyDescent="0.4">
      <c r="A51" s="73"/>
      <c r="B51" s="8">
        <v>23.69</v>
      </c>
      <c r="C51" s="9">
        <v>25.71</v>
      </c>
      <c r="D51" s="9">
        <v>25.12</v>
      </c>
      <c r="E51" s="9">
        <v>21.99</v>
      </c>
      <c r="F51" s="9">
        <v>21.53</v>
      </c>
      <c r="G51" s="10">
        <v>20.04</v>
      </c>
      <c r="H51" s="8">
        <v>24.76</v>
      </c>
      <c r="I51" s="9">
        <v>21.87</v>
      </c>
      <c r="J51" s="9">
        <v>17.59</v>
      </c>
      <c r="K51" s="9">
        <v>17.670000000000002</v>
      </c>
      <c r="L51" s="9">
        <v>18.98</v>
      </c>
      <c r="M51" s="114">
        <v>15.46</v>
      </c>
      <c r="N51" s="115">
        <v>20.329999999999998</v>
      </c>
      <c r="O51" s="116"/>
      <c r="P51" s="116">
        <v>17.3</v>
      </c>
      <c r="Q51" s="116">
        <v>23.15</v>
      </c>
      <c r="R51" s="116"/>
      <c r="S51" s="114">
        <v>18.850000000000001</v>
      </c>
      <c r="T51" s="116">
        <v>15.89</v>
      </c>
      <c r="U51" s="116">
        <v>18.670000000000002</v>
      </c>
      <c r="V51" s="116">
        <v>17.75</v>
      </c>
      <c r="W51" s="116">
        <v>14.32</v>
      </c>
      <c r="X51" s="116">
        <v>15.51</v>
      </c>
      <c r="Y51" s="114">
        <v>15.8</v>
      </c>
      <c r="Z51" s="115">
        <v>10.119999999999999</v>
      </c>
      <c r="AA51" s="116"/>
      <c r="AB51" s="116">
        <v>11.7</v>
      </c>
      <c r="AC51" s="116">
        <v>11.01</v>
      </c>
      <c r="AD51" s="116"/>
      <c r="AE51" s="114">
        <v>11.98</v>
      </c>
      <c r="AF51" s="115">
        <v>39.090000000000003</v>
      </c>
      <c r="AG51" s="116">
        <v>40.880000000000003</v>
      </c>
      <c r="AH51" s="116">
        <v>39.159999999999997</v>
      </c>
      <c r="AI51" s="116">
        <v>35.159999999999997</v>
      </c>
      <c r="AJ51" s="116">
        <v>43.6</v>
      </c>
      <c r="AK51" s="125">
        <v>40.01</v>
      </c>
      <c r="AL51" s="117"/>
      <c r="AM51" s="118"/>
      <c r="AN51" s="118"/>
      <c r="AO51" s="118"/>
      <c r="AP51" s="118"/>
      <c r="AQ51" s="118"/>
      <c r="AR51" s="119"/>
      <c r="AS51" s="111"/>
      <c r="AT51" s="111"/>
    </row>
    <row r="52" spans="1:46" x14ac:dyDescent="0.35">
      <c r="A52" s="74" t="s">
        <v>43</v>
      </c>
      <c r="B52" s="11">
        <v>25.84</v>
      </c>
      <c r="C52" s="12">
        <v>24.54</v>
      </c>
      <c r="D52" s="12">
        <v>28.69</v>
      </c>
      <c r="E52" s="12">
        <v>24.01</v>
      </c>
      <c r="F52" s="12">
        <v>26.15</v>
      </c>
      <c r="G52" s="13">
        <v>23.73</v>
      </c>
      <c r="H52" s="11">
        <v>14.18</v>
      </c>
      <c r="I52" s="12">
        <v>14.29</v>
      </c>
      <c r="J52" s="12">
        <v>15.16</v>
      </c>
      <c r="K52" s="12">
        <v>14.39</v>
      </c>
      <c r="L52" s="12">
        <v>17.72</v>
      </c>
      <c r="M52" s="128">
        <v>15</v>
      </c>
      <c r="N52" s="126">
        <v>15.37</v>
      </c>
      <c r="O52" s="127">
        <v>25.91</v>
      </c>
      <c r="P52" s="127">
        <v>25.77</v>
      </c>
      <c r="Q52" s="127">
        <v>26.06</v>
      </c>
      <c r="R52" s="127">
        <v>27.59</v>
      </c>
      <c r="S52" s="128">
        <v>24.01</v>
      </c>
      <c r="T52" s="127">
        <v>21.21</v>
      </c>
      <c r="U52" s="127">
        <v>17.04</v>
      </c>
      <c r="V52" s="127">
        <v>19.64</v>
      </c>
      <c r="W52" s="127">
        <v>17.34</v>
      </c>
      <c r="X52" s="127">
        <v>19.47</v>
      </c>
      <c r="Y52" s="128">
        <v>21.12</v>
      </c>
      <c r="Z52" s="126">
        <v>26.03</v>
      </c>
      <c r="AA52" s="127">
        <v>21.94</v>
      </c>
      <c r="AB52" s="127">
        <v>19.98</v>
      </c>
      <c r="AC52" s="127">
        <v>22.88</v>
      </c>
      <c r="AD52" s="127">
        <v>12.49</v>
      </c>
      <c r="AE52" s="128">
        <v>20.38</v>
      </c>
      <c r="AF52" s="122">
        <v>37.32</v>
      </c>
      <c r="AG52" s="127">
        <v>35.979999999999997</v>
      </c>
      <c r="AH52" s="127">
        <v>47.19</v>
      </c>
      <c r="AI52" s="122">
        <v>33.229999999999997</v>
      </c>
      <c r="AJ52" s="127">
        <v>45.1</v>
      </c>
      <c r="AK52" s="130">
        <v>45.53</v>
      </c>
      <c r="AL52" s="121" t="s">
        <v>45</v>
      </c>
      <c r="AM52" s="127">
        <v>2543867.8938000002</v>
      </c>
      <c r="AN52" s="127">
        <v>1361533.9088000001</v>
      </c>
      <c r="AO52" s="127">
        <v>1908924.4509000001</v>
      </c>
      <c r="AP52" s="127">
        <v>1655868.6943999999</v>
      </c>
      <c r="AQ52" s="127">
        <v>1022528.2461</v>
      </c>
      <c r="AR52" s="128">
        <v>974358.09140000003</v>
      </c>
      <c r="AS52" s="111"/>
      <c r="AT52" s="111"/>
    </row>
    <row r="53" spans="1:46" x14ac:dyDescent="0.35">
      <c r="A53" s="72"/>
      <c r="B53" s="6">
        <v>26.83</v>
      </c>
      <c r="C53" s="2">
        <v>24.29</v>
      </c>
      <c r="D53" s="2">
        <v>27.34</v>
      </c>
      <c r="E53" s="2">
        <v>24.57</v>
      </c>
      <c r="F53" s="2">
        <v>25.35</v>
      </c>
      <c r="G53" s="7">
        <v>22.39</v>
      </c>
      <c r="H53" s="6">
        <v>14.19</v>
      </c>
      <c r="I53" s="2">
        <v>13.85</v>
      </c>
      <c r="J53" s="2">
        <v>15.9</v>
      </c>
      <c r="K53" s="2">
        <v>15.19</v>
      </c>
      <c r="L53" s="2">
        <v>19.91</v>
      </c>
      <c r="M53" s="105">
        <v>14.27</v>
      </c>
      <c r="N53" s="106">
        <v>15.15</v>
      </c>
      <c r="O53" s="107">
        <v>26.79</v>
      </c>
      <c r="P53" s="107">
        <v>27.49</v>
      </c>
      <c r="Q53" s="107">
        <v>26.67</v>
      </c>
      <c r="R53" s="107">
        <v>27.59</v>
      </c>
      <c r="S53" s="105">
        <v>22.69</v>
      </c>
      <c r="T53" s="107">
        <v>20.38</v>
      </c>
      <c r="U53" s="107">
        <v>17.07</v>
      </c>
      <c r="V53" s="107">
        <v>22.4</v>
      </c>
      <c r="W53" s="107">
        <v>22.74</v>
      </c>
      <c r="X53" s="107">
        <v>21.88</v>
      </c>
      <c r="Y53" s="105">
        <v>20.51</v>
      </c>
      <c r="Z53" s="106">
        <v>19.190000000000001</v>
      </c>
      <c r="AA53" s="107">
        <v>19.54</v>
      </c>
      <c r="AB53" s="107">
        <v>20.190000000000001</v>
      </c>
      <c r="AC53" s="107">
        <v>21.32</v>
      </c>
      <c r="AD53" s="107">
        <v>13.86</v>
      </c>
      <c r="AE53" s="105">
        <v>18.41</v>
      </c>
      <c r="AF53" s="107">
        <v>34.94</v>
      </c>
      <c r="AG53" s="107">
        <v>34.450000000000003</v>
      </c>
      <c r="AH53" s="107">
        <v>45.31</v>
      </c>
      <c r="AI53" s="107">
        <v>34.54</v>
      </c>
      <c r="AJ53" s="107">
        <v>45.27</v>
      </c>
      <c r="AK53" s="124">
        <v>44.36</v>
      </c>
      <c r="AL53" s="108" t="s">
        <v>46</v>
      </c>
      <c r="AM53" s="109">
        <f>434.688*268</f>
        <v>116496.38399999999</v>
      </c>
      <c r="AN53" s="109">
        <f>798*108.291</f>
        <v>86416.217999999993</v>
      </c>
      <c r="AO53" s="109">
        <f>211*723.2185</f>
        <v>152599.1035</v>
      </c>
      <c r="AP53" s="109">
        <f>189*440.2736</f>
        <v>83211.710399999996</v>
      </c>
      <c r="AQ53" s="109">
        <f>699*94.7625</f>
        <v>66238.987500000003</v>
      </c>
      <c r="AR53" s="110">
        <f>721*130.9209</f>
        <v>94393.968899999993</v>
      </c>
      <c r="AS53" s="111"/>
      <c r="AT53" s="111"/>
    </row>
    <row r="54" spans="1:46" x14ac:dyDescent="0.35">
      <c r="A54" s="72"/>
      <c r="B54" s="6">
        <v>25.59</v>
      </c>
      <c r="C54" s="2">
        <v>24.44</v>
      </c>
      <c r="D54" s="2">
        <v>26.61</v>
      </c>
      <c r="E54" s="2">
        <v>24.31</v>
      </c>
      <c r="F54" s="2">
        <v>26.17</v>
      </c>
      <c r="G54" s="7">
        <v>25.15</v>
      </c>
      <c r="H54" s="6">
        <v>12.24</v>
      </c>
      <c r="I54" s="2">
        <v>14.93</v>
      </c>
      <c r="J54" s="2">
        <v>15.72</v>
      </c>
      <c r="K54" s="2">
        <v>14.78</v>
      </c>
      <c r="L54" s="2">
        <v>16.579999999999998</v>
      </c>
      <c r="M54" s="105">
        <v>14.35</v>
      </c>
      <c r="N54" s="106">
        <v>17.09</v>
      </c>
      <c r="O54" s="107">
        <v>25.43</v>
      </c>
      <c r="P54" s="107">
        <v>23.73</v>
      </c>
      <c r="Q54" s="107">
        <v>21.22</v>
      </c>
      <c r="R54" s="107">
        <v>23.77</v>
      </c>
      <c r="S54" s="105">
        <v>20.67</v>
      </c>
      <c r="T54" s="107">
        <v>18.41</v>
      </c>
      <c r="U54" s="107">
        <v>18.670000000000002</v>
      </c>
      <c r="V54" s="107">
        <v>19.3</v>
      </c>
      <c r="W54" s="107">
        <v>19.02</v>
      </c>
      <c r="X54" s="107">
        <v>18.149999999999999</v>
      </c>
      <c r="Y54" s="105">
        <v>21.57</v>
      </c>
      <c r="Z54" s="106">
        <v>14.37</v>
      </c>
      <c r="AA54" s="107">
        <v>21.77</v>
      </c>
      <c r="AB54" s="107">
        <v>20.84</v>
      </c>
      <c r="AC54" s="107">
        <v>17.579999999999998</v>
      </c>
      <c r="AD54" s="107">
        <v>14.5</v>
      </c>
      <c r="AE54" s="105">
        <v>14.99</v>
      </c>
      <c r="AF54" s="107">
        <v>37.79</v>
      </c>
      <c r="AG54" s="107">
        <v>34.53</v>
      </c>
      <c r="AH54" s="107">
        <v>44.75</v>
      </c>
      <c r="AI54" s="107">
        <v>33.1</v>
      </c>
      <c r="AJ54" s="107">
        <v>42.36</v>
      </c>
      <c r="AK54" s="124">
        <v>42.72</v>
      </c>
      <c r="AL54" s="112"/>
      <c r="AM54" s="111"/>
      <c r="AN54" s="111"/>
      <c r="AO54" s="111"/>
      <c r="AP54" s="111"/>
      <c r="AQ54" s="111"/>
      <c r="AR54" s="113"/>
      <c r="AS54" s="111"/>
      <c r="AT54" s="111"/>
    </row>
    <row r="55" spans="1:46" x14ac:dyDescent="0.35">
      <c r="A55" s="72"/>
      <c r="B55" s="6">
        <v>26.72</v>
      </c>
      <c r="C55" s="2">
        <v>23.59</v>
      </c>
      <c r="D55" s="2">
        <v>25.53</v>
      </c>
      <c r="E55" s="2">
        <v>24.86</v>
      </c>
      <c r="F55" s="2">
        <v>26.23</v>
      </c>
      <c r="G55" s="7">
        <v>27.14</v>
      </c>
      <c r="H55" s="6">
        <v>14.28</v>
      </c>
      <c r="I55" s="2">
        <v>13.71</v>
      </c>
      <c r="J55" s="2">
        <v>15.29</v>
      </c>
      <c r="K55" s="2">
        <v>16.86</v>
      </c>
      <c r="L55" s="2">
        <v>15.57</v>
      </c>
      <c r="M55" s="105">
        <v>13.95</v>
      </c>
      <c r="N55" s="106">
        <v>16.52</v>
      </c>
      <c r="O55" s="107">
        <v>26.2</v>
      </c>
      <c r="P55" s="107">
        <v>23.73</v>
      </c>
      <c r="Q55" s="107">
        <v>21.84</v>
      </c>
      <c r="R55" s="107">
        <v>24.85</v>
      </c>
      <c r="S55" s="105">
        <v>20.94</v>
      </c>
      <c r="T55" s="107">
        <v>19.260000000000002</v>
      </c>
      <c r="U55" s="107">
        <v>19.8</v>
      </c>
      <c r="V55" s="107">
        <v>19.72</v>
      </c>
      <c r="W55" s="107">
        <v>19.16</v>
      </c>
      <c r="X55" s="107">
        <v>18.8</v>
      </c>
      <c r="Y55" s="105">
        <v>19.28</v>
      </c>
      <c r="Z55" s="106">
        <v>19.98</v>
      </c>
      <c r="AA55" s="107">
        <v>21.27</v>
      </c>
      <c r="AB55" s="107">
        <v>22.84</v>
      </c>
      <c r="AC55" s="107">
        <v>19.41</v>
      </c>
      <c r="AD55" s="107">
        <v>16.57</v>
      </c>
      <c r="AE55" s="105">
        <v>16.920000000000002</v>
      </c>
      <c r="AF55" s="107">
        <v>34.31</v>
      </c>
      <c r="AG55" s="107">
        <v>37.229999999999997</v>
      </c>
      <c r="AH55" s="107">
        <v>44.95</v>
      </c>
      <c r="AI55" s="107">
        <v>33.130000000000003</v>
      </c>
      <c r="AJ55" s="107">
        <v>43.26</v>
      </c>
      <c r="AK55" s="124">
        <v>42.87</v>
      </c>
      <c r="AL55" s="112"/>
      <c r="AM55" s="111"/>
      <c r="AN55" s="111"/>
      <c r="AO55" s="111"/>
      <c r="AP55" s="111"/>
      <c r="AQ55" s="111"/>
      <c r="AR55" s="113"/>
      <c r="AS55" s="111"/>
      <c r="AT55" s="111"/>
    </row>
    <row r="56" spans="1:46" x14ac:dyDescent="0.35">
      <c r="A56" s="72"/>
      <c r="B56" s="6">
        <v>26.02</v>
      </c>
      <c r="C56" s="2">
        <v>24.58</v>
      </c>
      <c r="D56" s="2">
        <v>24.16</v>
      </c>
      <c r="E56" s="2">
        <v>25.92</v>
      </c>
      <c r="F56" s="2">
        <v>25.53</v>
      </c>
      <c r="G56" s="7">
        <v>23.01</v>
      </c>
      <c r="H56" s="6">
        <v>15.88</v>
      </c>
      <c r="I56" s="2">
        <v>13.63</v>
      </c>
      <c r="J56" s="2">
        <v>14.93</v>
      </c>
      <c r="K56" s="2">
        <v>14.47</v>
      </c>
      <c r="L56" s="2">
        <v>17.36</v>
      </c>
      <c r="M56" s="105">
        <v>13.87</v>
      </c>
      <c r="N56" s="106">
        <v>15.52</v>
      </c>
      <c r="O56" s="107">
        <v>25.99</v>
      </c>
      <c r="P56" s="107">
        <v>26.92</v>
      </c>
      <c r="Q56" s="107">
        <v>26.47</v>
      </c>
      <c r="R56" s="107">
        <v>24.23</v>
      </c>
      <c r="S56" s="105">
        <v>23.63</v>
      </c>
      <c r="T56" s="107">
        <v>20.75</v>
      </c>
      <c r="U56" s="107">
        <v>20.21</v>
      </c>
      <c r="V56" s="107">
        <v>20.13</v>
      </c>
      <c r="W56" s="107">
        <v>19.82</v>
      </c>
      <c r="X56" s="107">
        <v>18.28</v>
      </c>
      <c r="Y56" s="105">
        <v>17.25</v>
      </c>
      <c r="Z56" s="106">
        <v>17.739999999999998</v>
      </c>
      <c r="AA56" s="107">
        <v>18.420000000000002</v>
      </c>
      <c r="AB56" s="107">
        <v>23.41</v>
      </c>
      <c r="AC56" s="107">
        <v>20.6</v>
      </c>
      <c r="AD56" s="107">
        <v>21.53</v>
      </c>
      <c r="AE56" s="105">
        <v>15.06</v>
      </c>
      <c r="AF56" s="107">
        <v>32.049999999999997</v>
      </c>
      <c r="AG56" s="107">
        <v>32.42</v>
      </c>
      <c r="AH56" s="107">
        <v>46.69</v>
      </c>
      <c r="AI56" s="107">
        <v>32.29</v>
      </c>
      <c r="AJ56" s="107">
        <v>41.95</v>
      </c>
      <c r="AK56" s="124">
        <v>37.4</v>
      </c>
      <c r="AL56" s="112"/>
      <c r="AM56" s="111"/>
      <c r="AN56" s="111"/>
      <c r="AO56" s="111"/>
      <c r="AP56" s="111"/>
      <c r="AQ56" s="111"/>
      <c r="AR56" s="113"/>
      <c r="AS56" s="111"/>
      <c r="AT56" s="111"/>
    </row>
    <row r="57" spans="1:46" ht="15" thickBot="1" x14ac:dyDescent="0.4">
      <c r="A57" s="73"/>
      <c r="B57" s="18">
        <v>26.5</v>
      </c>
      <c r="C57" s="19">
        <v>24.01</v>
      </c>
      <c r="D57" s="19">
        <v>24.29</v>
      </c>
      <c r="E57" s="19">
        <v>24.23</v>
      </c>
      <c r="F57" s="19">
        <v>25.03</v>
      </c>
      <c r="G57" s="20">
        <v>23.58</v>
      </c>
      <c r="H57" s="18">
        <v>14.55</v>
      </c>
      <c r="I57" s="19">
        <v>14.5</v>
      </c>
      <c r="J57" s="19">
        <v>13.98</v>
      </c>
      <c r="K57" s="19">
        <v>16.95</v>
      </c>
      <c r="L57" s="19">
        <v>17.03</v>
      </c>
      <c r="M57" s="110">
        <v>13.82</v>
      </c>
      <c r="N57" s="108">
        <v>15.02</v>
      </c>
      <c r="O57" s="109">
        <v>25.74</v>
      </c>
      <c r="P57" s="109">
        <v>26.78</v>
      </c>
      <c r="Q57" s="109">
        <v>26.28</v>
      </c>
      <c r="R57" s="109">
        <v>25.32</v>
      </c>
      <c r="S57" s="110">
        <v>24.91</v>
      </c>
      <c r="T57" s="109">
        <v>21.16</v>
      </c>
      <c r="U57" s="109">
        <v>19.59</v>
      </c>
      <c r="V57" s="109">
        <v>19.579999999999998</v>
      </c>
      <c r="W57" s="109">
        <v>21.3</v>
      </c>
      <c r="X57" s="109">
        <v>21.48</v>
      </c>
      <c r="Y57" s="110">
        <v>18.899999999999999</v>
      </c>
      <c r="Z57" s="108">
        <v>24.25</v>
      </c>
      <c r="AA57" s="109">
        <v>19.89</v>
      </c>
      <c r="AB57" s="109">
        <v>16.690000000000001</v>
      </c>
      <c r="AC57" s="109">
        <v>20.399999999999999</v>
      </c>
      <c r="AD57" s="109">
        <v>16.170000000000002</v>
      </c>
      <c r="AE57" s="110">
        <v>18.75</v>
      </c>
      <c r="AF57" s="109">
        <v>35.479999999999997</v>
      </c>
      <c r="AG57" s="109">
        <v>32.43</v>
      </c>
      <c r="AH57" s="109">
        <v>47.22</v>
      </c>
      <c r="AI57" s="109">
        <v>34.35</v>
      </c>
      <c r="AJ57" s="109">
        <v>43.88</v>
      </c>
      <c r="AK57" s="129">
        <v>37.020000000000003</v>
      </c>
      <c r="AL57" s="112"/>
      <c r="AM57" s="111"/>
      <c r="AN57" s="111"/>
      <c r="AO57" s="111"/>
      <c r="AP57" s="111"/>
      <c r="AQ57" s="111"/>
      <c r="AR57" s="113"/>
      <c r="AS57" s="111"/>
      <c r="AT57" s="111"/>
    </row>
    <row r="58" spans="1:46" x14ac:dyDescent="0.35">
      <c r="A58" s="64" t="s">
        <v>8</v>
      </c>
      <c r="B58" s="3">
        <v>39.520000000000003</v>
      </c>
      <c r="C58" s="4">
        <v>39.770000000000003</v>
      </c>
      <c r="D58" s="4">
        <v>39.72</v>
      </c>
      <c r="E58" s="4">
        <v>38.380000000000003</v>
      </c>
      <c r="F58" s="4">
        <v>41.3</v>
      </c>
      <c r="G58" s="5">
        <v>41.42</v>
      </c>
      <c r="H58" s="3">
        <v>65.17</v>
      </c>
      <c r="I58" s="4">
        <v>22.93</v>
      </c>
      <c r="J58" s="4">
        <v>24.29</v>
      </c>
      <c r="K58" s="4">
        <v>27</v>
      </c>
      <c r="L58" s="4">
        <v>19.739999999999998</v>
      </c>
      <c r="M58" s="120">
        <v>26.36</v>
      </c>
      <c r="N58" s="121">
        <v>32.04</v>
      </c>
      <c r="O58" s="122"/>
      <c r="P58" s="122"/>
      <c r="Q58" s="122">
        <v>34.51</v>
      </c>
      <c r="R58" s="122"/>
      <c r="S58" s="120"/>
      <c r="T58" s="121" t="s">
        <v>9</v>
      </c>
      <c r="U58" s="122" t="s">
        <v>9</v>
      </c>
      <c r="V58" s="122" t="s">
        <v>9</v>
      </c>
      <c r="W58" s="122" t="s">
        <v>9</v>
      </c>
      <c r="X58" s="122" t="s">
        <v>9</v>
      </c>
      <c r="Y58" s="120" t="s">
        <v>9</v>
      </c>
      <c r="Z58" s="121">
        <v>17.309999999999999</v>
      </c>
      <c r="AA58" s="122">
        <v>22.58</v>
      </c>
      <c r="AB58" s="122">
        <v>23.42</v>
      </c>
      <c r="AC58" s="122">
        <v>21.54</v>
      </c>
      <c r="AD58" s="122">
        <v>16.45</v>
      </c>
      <c r="AE58" s="120">
        <v>31.01</v>
      </c>
      <c r="AF58" s="121">
        <v>45.36</v>
      </c>
      <c r="AG58" s="122">
        <v>54.44</v>
      </c>
      <c r="AH58" s="122"/>
      <c r="AI58" s="122">
        <v>26.7</v>
      </c>
      <c r="AJ58" s="122">
        <v>57.45</v>
      </c>
      <c r="AK58" s="120"/>
      <c r="AL58" s="121" t="s">
        <v>45</v>
      </c>
      <c r="AM58" s="122"/>
      <c r="AN58" s="122"/>
      <c r="AO58" s="122"/>
      <c r="AP58" s="122"/>
      <c r="AQ58" s="122"/>
      <c r="AR58" s="120"/>
      <c r="AS58" s="111"/>
      <c r="AT58" s="111"/>
    </row>
    <row r="59" spans="1:46" ht="15" thickBot="1" x14ac:dyDescent="0.4">
      <c r="A59" s="65"/>
      <c r="B59" s="6">
        <v>40.5</v>
      </c>
      <c r="C59" s="2">
        <v>41.12</v>
      </c>
      <c r="D59" s="2">
        <v>39.31</v>
      </c>
      <c r="E59" s="2">
        <v>39.39</v>
      </c>
      <c r="F59" s="2">
        <v>40.32</v>
      </c>
      <c r="G59" s="7">
        <v>41.35</v>
      </c>
      <c r="H59" s="6">
        <v>66.930000000000007</v>
      </c>
      <c r="I59" s="2">
        <v>25.35</v>
      </c>
      <c r="J59" s="2">
        <v>24.74</v>
      </c>
      <c r="K59" s="2">
        <v>26.48</v>
      </c>
      <c r="L59" s="2">
        <v>17.309999999999999</v>
      </c>
      <c r="M59" s="105">
        <v>42.58</v>
      </c>
      <c r="N59" s="106">
        <v>26.68</v>
      </c>
      <c r="O59" s="107"/>
      <c r="P59" s="107"/>
      <c r="Q59" s="107">
        <v>36.340000000000003</v>
      </c>
      <c r="R59" s="107"/>
      <c r="S59" s="105"/>
      <c r="T59" s="106" t="s">
        <v>9</v>
      </c>
      <c r="U59" s="107" t="s">
        <v>9</v>
      </c>
      <c r="V59" s="107" t="s">
        <v>9</v>
      </c>
      <c r="W59" s="107" t="s">
        <v>9</v>
      </c>
      <c r="X59" s="107" t="s">
        <v>9</v>
      </c>
      <c r="Y59" s="105" t="s">
        <v>9</v>
      </c>
      <c r="Z59" s="106">
        <v>21.17</v>
      </c>
      <c r="AA59" s="107">
        <v>26.21</v>
      </c>
      <c r="AB59" s="107">
        <v>23.8</v>
      </c>
      <c r="AC59" s="107">
        <v>30.59</v>
      </c>
      <c r="AD59" s="107">
        <v>21.71</v>
      </c>
      <c r="AE59" s="105">
        <v>30.25</v>
      </c>
      <c r="AF59" s="106">
        <v>48.07</v>
      </c>
      <c r="AG59" s="107">
        <v>53.36</v>
      </c>
      <c r="AH59" s="107"/>
      <c r="AI59" s="107">
        <v>25</v>
      </c>
      <c r="AJ59" s="107">
        <v>54.82</v>
      </c>
      <c r="AK59" s="105"/>
      <c r="AL59" s="115" t="s">
        <v>46</v>
      </c>
      <c r="AM59" s="116"/>
      <c r="AN59" s="116"/>
      <c r="AO59" s="116"/>
      <c r="AP59" s="116"/>
      <c r="AQ59" s="116"/>
      <c r="AR59" s="114"/>
      <c r="AS59" s="111"/>
      <c r="AT59" s="111"/>
    </row>
    <row r="60" spans="1:46" x14ac:dyDescent="0.35">
      <c r="A60" s="65"/>
      <c r="B60" s="6">
        <v>36.520000000000003</v>
      </c>
      <c r="C60" s="2">
        <v>40.49</v>
      </c>
      <c r="D60" s="2">
        <v>40.33</v>
      </c>
      <c r="E60" s="2">
        <v>38.56</v>
      </c>
      <c r="F60" s="2">
        <v>41.61</v>
      </c>
      <c r="G60" s="7">
        <v>39.93</v>
      </c>
      <c r="H60" s="6">
        <v>71.099999999999994</v>
      </c>
      <c r="I60" s="2">
        <v>24.03</v>
      </c>
      <c r="J60" s="2">
        <v>23.11</v>
      </c>
      <c r="K60" s="2">
        <v>30.27</v>
      </c>
      <c r="L60" s="2">
        <v>20.58</v>
      </c>
      <c r="M60" s="105">
        <v>31.42</v>
      </c>
      <c r="N60" s="106">
        <v>28.44</v>
      </c>
      <c r="O60" s="107"/>
      <c r="P60" s="107"/>
      <c r="Q60" s="107">
        <v>31.49</v>
      </c>
      <c r="R60" s="107"/>
      <c r="S60" s="105"/>
      <c r="T60" s="106" t="s">
        <v>9</v>
      </c>
      <c r="U60" s="107" t="s">
        <v>9</v>
      </c>
      <c r="V60" s="107" t="s">
        <v>9</v>
      </c>
      <c r="W60" s="107" t="s">
        <v>9</v>
      </c>
      <c r="X60" s="107" t="s">
        <v>9</v>
      </c>
      <c r="Y60" s="105" t="s">
        <v>9</v>
      </c>
      <c r="Z60" s="106">
        <v>20.32</v>
      </c>
      <c r="AA60" s="107">
        <v>26.6</v>
      </c>
      <c r="AB60" s="107">
        <v>22.48</v>
      </c>
      <c r="AC60" s="107">
        <v>32.4</v>
      </c>
      <c r="AD60" s="107">
        <v>19.309999999999999</v>
      </c>
      <c r="AE60" s="105">
        <v>34.43</v>
      </c>
      <c r="AF60" s="106">
        <v>50.79</v>
      </c>
      <c r="AG60" s="107">
        <v>53.55</v>
      </c>
      <c r="AH60" s="107"/>
      <c r="AI60" s="107">
        <v>31.21</v>
      </c>
      <c r="AJ60" s="107">
        <v>46.03</v>
      </c>
      <c r="AK60" s="105"/>
      <c r="AL60" s="111"/>
      <c r="AM60" s="111"/>
      <c r="AN60" s="111"/>
      <c r="AO60" s="111"/>
      <c r="AP60" s="111"/>
      <c r="AQ60" s="111"/>
      <c r="AR60" s="111"/>
      <c r="AS60" s="111"/>
      <c r="AT60" s="111"/>
    </row>
    <row r="61" spans="1:46" x14ac:dyDescent="0.35">
      <c r="A61" s="65"/>
      <c r="B61" s="6">
        <v>40.21</v>
      </c>
      <c r="C61" s="2">
        <v>40.659999999999997</v>
      </c>
      <c r="D61" s="2">
        <v>40.909999999999997</v>
      </c>
      <c r="E61" s="2">
        <v>39.19</v>
      </c>
      <c r="F61" s="2">
        <v>40.46</v>
      </c>
      <c r="G61" s="7">
        <v>40.01</v>
      </c>
      <c r="H61" s="6">
        <v>75.11</v>
      </c>
      <c r="I61" s="2">
        <v>23.57</v>
      </c>
      <c r="J61" s="2">
        <v>22.66</v>
      </c>
      <c r="K61" s="2">
        <v>32.03</v>
      </c>
      <c r="L61" s="2">
        <v>18.559999999999999</v>
      </c>
      <c r="M61" s="105">
        <v>43.2</v>
      </c>
      <c r="N61" s="106">
        <v>33.340000000000003</v>
      </c>
      <c r="O61" s="107"/>
      <c r="P61" s="107"/>
      <c r="Q61" s="107">
        <v>38.43</v>
      </c>
      <c r="R61" s="107"/>
      <c r="S61" s="105"/>
      <c r="T61" s="106" t="s">
        <v>9</v>
      </c>
      <c r="U61" s="107" t="s">
        <v>9</v>
      </c>
      <c r="V61" s="107" t="s">
        <v>9</v>
      </c>
      <c r="W61" s="107" t="s">
        <v>9</v>
      </c>
      <c r="X61" s="107" t="s">
        <v>9</v>
      </c>
      <c r="Y61" s="105" t="s">
        <v>9</v>
      </c>
      <c r="Z61" s="106">
        <v>20.76</v>
      </c>
      <c r="AA61" s="107">
        <v>23.62</v>
      </c>
      <c r="AB61" s="107">
        <v>21</v>
      </c>
      <c r="AC61" s="107">
        <v>20.16</v>
      </c>
      <c r="AD61" s="107">
        <v>27.13</v>
      </c>
      <c r="AE61" s="105">
        <v>45.21</v>
      </c>
      <c r="AF61" s="106">
        <v>47.73</v>
      </c>
      <c r="AG61" s="107">
        <v>49.65</v>
      </c>
      <c r="AH61" s="107"/>
      <c r="AI61" s="107">
        <v>16.57</v>
      </c>
      <c r="AJ61" s="107">
        <v>49.45</v>
      </c>
      <c r="AK61" s="105"/>
      <c r="AL61" s="111"/>
      <c r="AM61" s="111"/>
      <c r="AN61" s="111"/>
      <c r="AO61" s="111"/>
      <c r="AP61" s="111"/>
      <c r="AQ61" s="111"/>
      <c r="AR61" s="111"/>
      <c r="AS61" s="111"/>
      <c r="AT61" s="111"/>
    </row>
    <row r="62" spans="1:46" x14ac:dyDescent="0.35">
      <c r="A62" s="65"/>
      <c r="B62" s="6">
        <v>40.21</v>
      </c>
      <c r="C62" s="2">
        <v>39.53</v>
      </c>
      <c r="D62" s="2">
        <v>42.03</v>
      </c>
      <c r="E62" s="2">
        <v>40.67</v>
      </c>
      <c r="F62" s="2">
        <v>41.2</v>
      </c>
      <c r="G62" s="7">
        <v>40.06</v>
      </c>
      <c r="H62" s="6">
        <v>72.010000000000005</v>
      </c>
      <c r="I62" s="2">
        <v>22.66</v>
      </c>
      <c r="J62" s="2">
        <v>23.16</v>
      </c>
      <c r="K62" s="2">
        <v>24.5</v>
      </c>
      <c r="L62" s="2">
        <v>19.77</v>
      </c>
      <c r="M62" s="105">
        <v>42.13</v>
      </c>
      <c r="N62" s="106">
        <v>28.03</v>
      </c>
      <c r="O62" s="107"/>
      <c r="P62" s="107"/>
      <c r="Q62" s="107">
        <v>34.409999999999997</v>
      </c>
      <c r="R62" s="107"/>
      <c r="S62" s="105"/>
      <c r="T62" s="106" t="s">
        <v>9</v>
      </c>
      <c r="U62" s="107" t="s">
        <v>9</v>
      </c>
      <c r="V62" s="107" t="s">
        <v>9</v>
      </c>
      <c r="W62" s="107" t="s">
        <v>9</v>
      </c>
      <c r="X62" s="107" t="s">
        <v>9</v>
      </c>
      <c r="Y62" s="105" t="s">
        <v>9</v>
      </c>
      <c r="Z62" s="106">
        <v>18.100000000000001</v>
      </c>
      <c r="AA62" s="107">
        <v>19.41</v>
      </c>
      <c r="AB62" s="107">
        <v>20.079999999999998</v>
      </c>
      <c r="AC62" s="107">
        <v>26.34</v>
      </c>
      <c r="AD62" s="107">
        <v>25.81</v>
      </c>
      <c r="AE62" s="105">
        <v>38.520000000000003</v>
      </c>
      <c r="AF62" s="106">
        <v>50.12</v>
      </c>
      <c r="AG62" s="107">
        <v>49.35</v>
      </c>
      <c r="AH62" s="107"/>
      <c r="AI62" s="107">
        <v>24.634</v>
      </c>
      <c r="AJ62" s="107">
        <v>48.26</v>
      </c>
      <c r="AK62" s="105"/>
      <c r="AL62" s="111"/>
      <c r="AM62" s="111"/>
      <c r="AN62" s="111"/>
      <c r="AO62" s="111"/>
      <c r="AP62" s="111"/>
      <c r="AQ62" s="111"/>
      <c r="AR62" s="111"/>
      <c r="AS62" s="111"/>
      <c r="AT62" s="111"/>
    </row>
    <row r="63" spans="1:46" ht="15" thickBot="1" x14ac:dyDescent="0.4">
      <c r="A63" s="66"/>
      <c r="B63" s="8">
        <v>40.799999999999997</v>
      </c>
      <c r="C63" s="9">
        <v>39.299999999999997</v>
      </c>
      <c r="D63" s="9">
        <v>40.72</v>
      </c>
      <c r="E63" s="9">
        <v>41.01</v>
      </c>
      <c r="F63" s="9">
        <v>41</v>
      </c>
      <c r="G63" s="10">
        <v>40.159999999999997</v>
      </c>
      <c r="H63" s="8">
        <v>67.05</v>
      </c>
      <c r="I63" s="9">
        <v>21.6</v>
      </c>
      <c r="J63" s="9">
        <v>25.2</v>
      </c>
      <c r="K63" s="9">
        <v>25.93</v>
      </c>
      <c r="L63" s="9">
        <v>20.16</v>
      </c>
      <c r="M63" s="114">
        <v>36.86</v>
      </c>
      <c r="N63" s="115">
        <v>30.63</v>
      </c>
      <c r="O63" s="116"/>
      <c r="P63" s="116"/>
      <c r="Q63" s="116">
        <v>36.74</v>
      </c>
      <c r="R63" s="116"/>
      <c r="S63" s="114"/>
      <c r="T63" s="115" t="s">
        <v>9</v>
      </c>
      <c r="U63" s="116" t="s">
        <v>9</v>
      </c>
      <c r="V63" s="116" t="s">
        <v>9</v>
      </c>
      <c r="W63" s="116" t="s">
        <v>9</v>
      </c>
      <c r="X63" s="116" t="s">
        <v>9</v>
      </c>
      <c r="Y63" s="114" t="s">
        <v>9</v>
      </c>
      <c r="Z63" s="115">
        <v>20.8</v>
      </c>
      <c r="AA63" s="116">
        <v>26.56</v>
      </c>
      <c r="AB63" s="116">
        <v>22.92</v>
      </c>
      <c r="AC63" s="116">
        <v>34.54</v>
      </c>
      <c r="AD63" s="116">
        <v>21.29</v>
      </c>
      <c r="AE63" s="114">
        <v>31.01</v>
      </c>
      <c r="AF63" s="115">
        <v>47.78</v>
      </c>
      <c r="AG63" s="116">
        <v>48.79</v>
      </c>
      <c r="AH63" s="116"/>
      <c r="AI63" s="116">
        <v>27.74</v>
      </c>
      <c r="AJ63" s="116">
        <v>45.08</v>
      </c>
      <c r="AK63" s="114"/>
      <c r="AL63" s="111"/>
      <c r="AM63" s="111"/>
      <c r="AN63" s="111"/>
      <c r="AO63" s="111"/>
      <c r="AP63" s="111"/>
      <c r="AQ63" s="111"/>
      <c r="AR63" s="111"/>
      <c r="AS63" s="111"/>
      <c r="AT63" s="111"/>
    </row>
    <row r="64" spans="1:46" x14ac:dyDescent="0.35"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</row>
    <row r="65" spans="13:46" x14ac:dyDescent="0.35"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</row>
    <row r="66" spans="13:46" x14ac:dyDescent="0.35"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</row>
    <row r="67" spans="13:46" x14ac:dyDescent="0.35"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</row>
    <row r="68" spans="13:46" x14ac:dyDescent="0.35"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</row>
    <row r="69" spans="13:46" x14ac:dyDescent="0.35"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</row>
    <row r="70" spans="13:46" x14ac:dyDescent="0.35"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</row>
    <row r="71" spans="13:46" x14ac:dyDescent="0.35"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</row>
    <row r="72" spans="13:46" x14ac:dyDescent="0.35"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</row>
    <row r="73" spans="13:46" x14ac:dyDescent="0.35"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</row>
    <row r="74" spans="13:46" x14ac:dyDescent="0.35"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</row>
    <row r="75" spans="13:46" x14ac:dyDescent="0.35"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</row>
    <row r="76" spans="13:46" x14ac:dyDescent="0.35"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</row>
    <row r="77" spans="13:46" x14ac:dyDescent="0.35"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</row>
    <row r="78" spans="13:46" x14ac:dyDescent="0.35"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</row>
  </sheetData>
  <mergeCells count="38">
    <mergeCell ref="K1:M1"/>
    <mergeCell ref="H2:J2"/>
    <mergeCell ref="K2:M2"/>
    <mergeCell ref="N1:P1"/>
    <mergeCell ref="Q1:S1"/>
    <mergeCell ref="N2:P2"/>
    <mergeCell ref="Q2:S2"/>
    <mergeCell ref="B1:D1"/>
    <mergeCell ref="B2:D2"/>
    <mergeCell ref="E1:G1"/>
    <mergeCell ref="E2:G2"/>
    <mergeCell ref="H1:J1"/>
    <mergeCell ref="Z2:AB2"/>
    <mergeCell ref="T1:V1"/>
    <mergeCell ref="AM1:AO1"/>
    <mergeCell ref="AP1:AR1"/>
    <mergeCell ref="AF1:AH1"/>
    <mergeCell ref="AI1:AK1"/>
    <mergeCell ref="AM2:AO2"/>
    <mergeCell ref="AP2:AR2"/>
    <mergeCell ref="T2:V2"/>
    <mergeCell ref="AF2:AH2"/>
    <mergeCell ref="AI2:AK2"/>
    <mergeCell ref="A58:A63"/>
    <mergeCell ref="AC1:AE1"/>
    <mergeCell ref="AC2:AE2"/>
    <mergeCell ref="A40:A45"/>
    <mergeCell ref="A52:A57"/>
    <mergeCell ref="A46:A51"/>
    <mergeCell ref="A4:A9"/>
    <mergeCell ref="A10:A15"/>
    <mergeCell ref="A16:A21"/>
    <mergeCell ref="A22:A27"/>
    <mergeCell ref="A28:A33"/>
    <mergeCell ref="A34:A39"/>
    <mergeCell ref="W1:Y1"/>
    <mergeCell ref="W2:Y2"/>
    <mergeCell ref="Z1:AB1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6964-89CD-4812-AF94-90994D73760A}">
  <dimension ref="A1:AB159"/>
  <sheetViews>
    <sheetView topLeftCell="H40" zoomScale="30" zoomScaleNormal="70" workbookViewId="0">
      <selection activeCell="AQ118" sqref="AQ118"/>
    </sheetView>
  </sheetViews>
  <sheetFormatPr baseColWidth="10" defaultRowHeight="14.5" x14ac:dyDescent="0.35"/>
  <cols>
    <col min="1" max="1" width="22.81640625" bestFit="1" customWidth="1"/>
    <col min="2" max="2" width="18.81640625" bestFit="1" customWidth="1"/>
    <col min="3" max="3" width="19.81640625" bestFit="1" customWidth="1"/>
    <col min="4" max="4" width="18.81640625" bestFit="1" customWidth="1"/>
    <col min="5" max="5" width="15.54296875" bestFit="1" customWidth="1"/>
    <col min="6" max="6" width="19.1796875" bestFit="1" customWidth="1"/>
    <col min="7" max="7" width="57.08984375" bestFit="1" customWidth="1"/>
    <col min="8" max="8" width="33.81640625" bestFit="1" customWidth="1"/>
    <col min="9" max="12" width="32.1796875" customWidth="1"/>
    <col min="13" max="13" width="31.54296875" bestFit="1" customWidth="1"/>
    <col min="14" max="14" width="18.81640625" bestFit="1" customWidth="1"/>
    <col min="15" max="15" width="16.1796875" customWidth="1"/>
    <col min="16" max="16" width="19.81640625" bestFit="1" customWidth="1"/>
    <col min="18" max="18" width="17.81640625" bestFit="1" customWidth="1"/>
    <col min="19" max="19" width="54" bestFit="1" customWidth="1"/>
    <col min="20" max="20" width="33.1796875" bestFit="1" customWidth="1"/>
    <col min="21" max="21" width="30.1796875" bestFit="1" customWidth="1"/>
    <col min="22" max="24" width="30.1796875" customWidth="1"/>
    <col min="27" max="27" width="30.54296875" bestFit="1" customWidth="1"/>
    <col min="28" max="28" width="31.54296875" bestFit="1" customWidth="1"/>
    <col min="75" max="75" width="22.81640625" customWidth="1"/>
    <col min="76" max="76" width="27.54296875" customWidth="1"/>
    <col min="77" max="77" width="26.81640625" customWidth="1"/>
    <col min="78" max="78" width="23.1796875" customWidth="1"/>
    <col min="79" max="79" width="22.54296875" customWidth="1"/>
    <col min="80" max="80" width="31.81640625" customWidth="1"/>
  </cols>
  <sheetData>
    <row r="1" spans="1:28" x14ac:dyDescent="0.35">
      <c r="A1" s="30" t="s">
        <v>47</v>
      </c>
      <c r="B1" s="71" t="s">
        <v>32</v>
      </c>
      <c r="C1" s="67"/>
      <c r="D1" s="68"/>
      <c r="E1" s="34"/>
      <c r="F1" s="34"/>
      <c r="G1" s="34"/>
      <c r="H1" s="34"/>
      <c r="I1" s="34"/>
      <c r="J1" s="34"/>
      <c r="K1" s="34"/>
      <c r="L1" s="34"/>
      <c r="M1" s="34"/>
      <c r="N1" s="71" t="s">
        <v>33</v>
      </c>
      <c r="O1" s="67"/>
      <c r="P1" s="68"/>
      <c r="Q1" s="34"/>
      <c r="R1" s="34"/>
      <c r="S1" s="34"/>
      <c r="T1" s="34"/>
      <c r="U1" s="34"/>
      <c r="V1" s="34"/>
      <c r="W1" s="34"/>
      <c r="X1" s="35"/>
    </row>
    <row r="2" spans="1:28" ht="15" thickBot="1" x14ac:dyDescent="0.4">
      <c r="A2" s="31" t="s">
        <v>48</v>
      </c>
      <c r="B2" s="72" t="s">
        <v>50</v>
      </c>
      <c r="C2" s="86"/>
      <c r="D2" s="87"/>
      <c r="N2" s="88" t="s">
        <v>50</v>
      </c>
      <c r="O2" s="89"/>
      <c r="P2" s="90"/>
      <c r="X2" s="14"/>
    </row>
    <row r="3" spans="1:28" ht="15" thickBot="1" x14ac:dyDescent="0.4">
      <c r="A3" s="28" t="s">
        <v>49</v>
      </c>
      <c r="B3" s="8">
        <v>1</v>
      </c>
      <c r="C3" s="9">
        <v>2</v>
      </c>
      <c r="D3" s="10">
        <v>3</v>
      </c>
      <c r="E3" s="22" t="s">
        <v>30</v>
      </c>
      <c r="F3" s="2" t="s">
        <v>31</v>
      </c>
      <c r="G3" s="2" t="s">
        <v>51</v>
      </c>
      <c r="H3" s="2" t="s">
        <v>52</v>
      </c>
      <c r="I3" s="2" t="s">
        <v>53</v>
      </c>
      <c r="J3" s="2" t="s">
        <v>54</v>
      </c>
      <c r="K3" s="2" t="s">
        <v>55</v>
      </c>
      <c r="L3" s="2" t="s">
        <v>56</v>
      </c>
      <c r="M3" s="27" t="s">
        <v>57</v>
      </c>
      <c r="N3" s="8">
        <v>1</v>
      </c>
      <c r="O3" s="9">
        <v>2</v>
      </c>
      <c r="P3" s="10">
        <v>3</v>
      </c>
      <c r="Q3" s="22" t="s">
        <v>30</v>
      </c>
      <c r="R3" s="2" t="s">
        <v>31</v>
      </c>
      <c r="S3" s="2" t="s">
        <v>51</v>
      </c>
      <c r="T3" s="2" t="s">
        <v>52</v>
      </c>
      <c r="U3" s="2" t="s">
        <v>53</v>
      </c>
      <c r="V3" s="2" t="s">
        <v>54</v>
      </c>
      <c r="W3" s="2" t="s">
        <v>55</v>
      </c>
      <c r="X3" s="2" t="s">
        <v>56</v>
      </c>
      <c r="Z3" s="24" t="s">
        <v>7</v>
      </c>
      <c r="AA3" s="25" t="s">
        <v>58</v>
      </c>
      <c r="AB3" s="26" t="s">
        <v>57</v>
      </c>
    </row>
    <row r="4" spans="1:28" x14ac:dyDescent="0.35">
      <c r="A4" s="28" t="s">
        <v>2</v>
      </c>
      <c r="B4" s="131">
        <f>AVERAGE('Raw results fibers'!B4:B9)</f>
        <v>26.081666666666663</v>
      </c>
      <c r="C4" s="132">
        <f>AVERAGE('Raw results fibers'!C4:C9)</f>
        <v>26.330000000000002</v>
      </c>
      <c r="D4" s="133">
        <f>AVERAGE('Raw results fibers'!D4:D9)</f>
        <v>27.275000000000002</v>
      </c>
      <c r="E4" s="134">
        <f>AVERAGE(B4:D4)</f>
        <v>26.562222222222221</v>
      </c>
      <c r="F4" s="135">
        <f>_xlfn.STDEV.S(B4:D4)</f>
        <v>0.62964790278494864</v>
      </c>
      <c r="G4" s="135">
        <f>_xlfn.CONFIDENCE.NORM(0.05, F4, 3)</f>
        <v>0.71250058428242791</v>
      </c>
      <c r="H4" s="135">
        <f>E4-2*F4</f>
        <v>25.302926416652323</v>
      </c>
      <c r="I4" s="136">
        <f>E4+2*F4</f>
        <v>27.82151802779212</v>
      </c>
      <c r="J4" s="136" t="str">
        <f>+IF(OR(B4&lt;H4,B4&gt;I4),"Valeur aberrante","")</f>
        <v/>
      </c>
      <c r="K4" s="136" t="str">
        <f>+IF(OR(C4&lt;H4,C4&gt;I4),"Valeur aberrante","")</f>
        <v/>
      </c>
      <c r="L4" s="136" t="str">
        <f>+IF(OR(D4&lt;H4,D4&gt;I4),"Valeur aberrante","")</f>
        <v/>
      </c>
      <c r="M4" s="137"/>
      <c r="N4" s="131">
        <f>AVERAGE('Raw results fibers'!E4:E9)</f>
        <v>25.95</v>
      </c>
      <c r="O4" s="132">
        <f>AVERAGE('Raw results fibers'!F4:F9)</f>
        <v>24.153333333333336</v>
      </c>
      <c r="P4" s="133">
        <f>AVERAGE('Raw results fibers'!G4:G9)</f>
        <v>26.614999999999998</v>
      </c>
      <c r="Q4" s="134">
        <f>AVERAGE(N4:P4)</f>
        <v>25.572777777777777</v>
      </c>
      <c r="R4" s="135">
        <f>_xlfn.STDEV.S(N4:P4)</f>
        <v>1.2734493111813059</v>
      </c>
      <c r="S4" s="135">
        <f>_xlfn.CONFIDENCE.NORM(0.05, R4, 3)</f>
        <v>1.441017073601893</v>
      </c>
      <c r="T4" s="135">
        <f>Q4-2*R4</f>
        <v>23.025879155415165</v>
      </c>
      <c r="U4" s="135">
        <f>Q4+2*R4</f>
        <v>28.119676400140388</v>
      </c>
      <c r="V4" s="136" t="str">
        <f>+IF(OR(N4&lt;T4,N4&gt;U4),"Valeur aberrante","")</f>
        <v/>
      </c>
      <c r="W4" s="136" t="str">
        <f>+IF(OR(O4&lt;T4,O4&gt;U4),"Valeur aberrante","")</f>
        <v/>
      </c>
      <c r="X4" s="138" t="str">
        <f>+IF(OR(P4&lt;T4,P4&gt;U4),"Valeur aberrante","")</f>
        <v/>
      </c>
      <c r="Y4" s="111"/>
      <c r="Z4" s="121">
        <f t="shared" ref="Z4:Z13" si="0">_xlfn.T.TEST(B4:D4,N4:P4,2,1)</f>
        <v>0.24779829633302863</v>
      </c>
      <c r="AA4" s="122" t="str">
        <f>IF(Z4&lt;0.05,"YES","NO")</f>
        <v>NO</v>
      </c>
      <c r="AB4" s="5"/>
    </row>
    <row r="5" spans="1:28" x14ac:dyDescent="0.35">
      <c r="A5" s="28" t="s">
        <v>1</v>
      </c>
      <c r="B5" s="139">
        <f>AVERAGE('Raw results fibers'!B10:B15)</f>
        <v>26.918333333333337</v>
      </c>
      <c r="C5" s="135">
        <f>AVERAGE('Raw results fibers'!C10:C15)</f>
        <v>25.616666666666664</v>
      </c>
      <c r="D5" s="138">
        <f>AVERAGE('Raw results fibers'!D10:D15)</f>
        <v>21.871666666666666</v>
      </c>
      <c r="E5" s="134">
        <f t="shared" ref="E5:E13" si="1">AVERAGE(B5:D5)</f>
        <v>24.802222222222223</v>
      </c>
      <c r="F5" s="135">
        <f t="shared" ref="F5:F13" si="2">_xlfn.STDEV.S(B5:D5)</f>
        <v>2.6200574279824349</v>
      </c>
      <c r="G5" s="135">
        <f t="shared" ref="G5:G13" si="3">_xlfn.CONFIDENCE.NORM(0.05, F5, 3)</f>
        <v>2.9648196079652296</v>
      </c>
      <c r="H5" s="135">
        <f t="shared" ref="H5:H73" si="4">E5-2*F5</f>
        <v>19.562107366257354</v>
      </c>
      <c r="I5" s="136">
        <f t="shared" ref="I5:I73" si="5">E5+2*F5</f>
        <v>30.042337078187092</v>
      </c>
      <c r="J5" s="136" t="str">
        <f t="shared" ref="J5:J73" si="6">+IF(OR(B5&lt;H5,B5&gt;I5),"Valeur aberrante","")</f>
        <v/>
      </c>
      <c r="K5" s="136" t="str">
        <f t="shared" ref="K5:K73" si="7">+IF(OR(C5&lt;H5,C5&gt;I5),"Valeur aberrante","")</f>
        <v/>
      </c>
      <c r="L5" s="136" t="str">
        <f t="shared" ref="L5:L73" si="8">+IF(OR(D5&lt;H5,D5&gt;I5),"Valeur aberrante","")</f>
        <v/>
      </c>
      <c r="M5" s="140"/>
      <c r="N5" s="139">
        <f>AVERAGE('Raw results fibers'!E10:E15)</f>
        <v>23.856666666666669</v>
      </c>
      <c r="O5" s="135">
        <f>AVERAGE('Raw results fibers'!F10:F15)</f>
        <v>25.768333333333334</v>
      </c>
      <c r="P5" s="138">
        <f>AVERAGE('Raw results fibers'!G10:G15)</f>
        <v>21.233333333333334</v>
      </c>
      <c r="Q5" s="134">
        <f t="shared" ref="Q5:Q13" si="9">AVERAGE(N5:P5)</f>
        <v>23.619444444444444</v>
      </c>
      <c r="R5" s="135">
        <f t="shared" ref="R5:R13" si="10">_xlfn.STDEV.S(N5:P5)</f>
        <v>2.2767876574325148</v>
      </c>
      <c r="S5" s="135">
        <f t="shared" ref="S5:S13" si="11">_xlfn.CONFIDENCE.NORM(0.05, R5, 3)</f>
        <v>2.5763804326713391</v>
      </c>
      <c r="T5" s="135">
        <f t="shared" ref="T5:T73" si="12">Q5-2*R5</f>
        <v>19.065869129579415</v>
      </c>
      <c r="U5" s="135">
        <f t="shared" ref="U5:U73" si="13">Q5+2*R5</f>
        <v>28.173019759309472</v>
      </c>
      <c r="V5" s="136" t="str">
        <f t="shared" ref="V5:V73" si="14">+IF(OR(N5&lt;T5,N5&gt;U5),"Valeur aberrante","")</f>
        <v/>
      </c>
      <c r="W5" s="136" t="str">
        <f t="shared" ref="W5:W73" si="15">+IF(OR(O5&lt;T5,O5&gt;U5),"Valeur aberrante","")</f>
        <v/>
      </c>
      <c r="X5" s="138" t="str">
        <f t="shared" ref="X5:X73" si="16">+IF(OR(P5&lt;T5,P5&gt;U5),"Valeur aberrante","")</f>
        <v/>
      </c>
      <c r="Y5" s="111"/>
      <c r="Z5" s="106">
        <f t="shared" si="0"/>
        <v>0.34573145476502498</v>
      </c>
      <c r="AA5" s="127" t="str">
        <f t="shared" ref="AA5:AA26" si="17">IF(Z5&lt;0.05,"YES","NO")</f>
        <v>NO</v>
      </c>
      <c r="AB5" s="7"/>
    </row>
    <row r="6" spans="1:28" x14ac:dyDescent="0.35">
      <c r="A6" s="28" t="s">
        <v>3</v>
      </c>
      <c r="B6" s="139">
        <f>AVERAGE('Raw results fibers'!B16:B21)</f>
        <v>24.423333333333332</v>
      </c>
      <c r="C6" s="135">
        <f>AVERAGE('Raw results fibers'!C16:C21)</f>
        <v>26.711666666666662</v>
      </c>
      <c r="D6" s="138">
        <f>AVERAGE('Raw results fibers'!D16:D21)</f>
        <v>22.628333333333334</v>
      </c>
      <c r="E6" s="134">
        <f t="shared" si="1"/>
        <v>24.587777777777774</v>
      </c>
      <c r="F6" s="135">
        <f t="shared" si="2"/>
        <v>2.0466275331039721</v>
      </c>
      <c r="G6" s="135">
        <f t="shared" si="3"/>
        <v>2.3159345194279624</v>
      </c>
      <c r="H6" s="135">
        <f t="shared" si="4"/>
        <v>20.494522711569829</v>
      </c>
      <c r="I6" s="136">
        <f t="shared" si="5"/>
        <v>28.681032843985719</v>
      </c>
      <c r="J6" s="136" t="str">
        <f t="shared" si="6"/>
        <v/>
      </c>
      <c r="K6" s="136" t="str">
        <f t="shared" si="7"/>
        <v/>
      </c>
      <c r="L6" s="136" t="str">
        <f t="shared" si="8"/>
        <v/>
      </c>
      <c r="M6" s="140"/>
      <c r="N6" s="139">
        <f>AVERAGE('Raw results fibers'!E16:E21)</f>
        <v>24.538333333333338</v>
      </c>
      <c r="O6" s="135">
        <f>AVERAGE('Raw results fibers'!F16:F21)</f>
        <v>24.161666666666665</v>
      </c>
      <c r="P6" s="138">
        <f>AVERAGE('Raw results fibers'!G16:G21)</f>
        <v>23.018333333333331</v>
      </c>
      <c r="Q6" s="134">
        <f t="shared" si="9"/>
        <v>23.906111111111112</v>
      </c>
      <c r="R6" s="135">
        <f t="shared" si="10"/>
        <v>0.79156899982344309</v>
      </c>
      <c r="S6" s="135">
        <f t="shared" si="11"/>
        <v>0.89572818773715179</v>
      </c>
      <c r="T6" s="135">
        <f t="shared" si="12"/>
        <v>22.322973111464226</v>
      </c>
      <c r="U6" s="135">
        <f t="shared" si="13"/>
        <v>25.489249110757999</v>
      </c>
      <c r="V6" s="136" t="str">
        <f t="shared" si="14"/>
        <v/>
      </c>
      <c r="W6" s="136" t="str">
        <f t="shared" si="15"/>
        <v/>
      </c>
      <c r="X6" s="138" t="str">
        <f t="shared" si="16"/>
        <v/>
      </c>
      <c r="Y6" s="111"/>
      <c r="Z6" s="106">
        <f t="shared" si="0"/>
        <v>0.54276381926920503</v>
      </c>
      <c r="AA6" s="127" t="str">
        <f t="shared" si="17"/>
        <v>NO</v>
      </c>
      <c r="AB6" s="7"/>
    </row>
    <row r="7" spans="1:28" x14ac:dyDescent="0.35">
      <c r="A7" s="28" t="s">
        <v>0</v>
      </c>
      <c r="B7" s="139">
        <f>AVERAGE('Raw results fibers'!B22:B27)</f>
        <v>21.611666666666665</v>
      </c>
      <c r="C7" s="135">
        <f>AVERAGE('Raw results fibers'!C22:C27)</f>
        <v>24.186666666666664</v>
      </c>
      <c r="D7" s="138">
        <f>AVERAGE('Raw results fibers'!D22:D27)</f>
        <v>21.224999999999998</v>
      </c>
      <c r="E7" s="134">
        <f t="shared" si="1"/>
        <v>22.341111111111108</v>
      </c>
      <c r="F7" s="135">
        <f t="shared" si="2"/>
        <v>1.6099485268974465</v>
      </c>
      <c r="G7" s="135">
        <f t="shared" si="3"/>
        <v>1.8217947856340981</v>
      </c>
      <c r="H7" s="135">
        <f t="shared" si="4"/>
        <v>19.121214057316216</v>
      </c>
      <c r="I7" s="136">
        <f t="shared" si="5"/>
        <v>25.561008164905999</v>
      </c>
      <c r="J7" s="136" t="str">
        <f t="shared" si="6"/>
        <v/>
      </c>
      <c r="K7" s="136" t="str">
        <f t="shared" si="7"/>
        <v/>
      </c>
      <c r="L7" s="136" t="str">
        <f t="shared" si="8"/>
        <v/>
      </c>
      <c r="M7" s="140"/>
      <c r="N7" s="139">
        <f>AVERAGE('Raw results fibers'!E22:E27)</f>
        <v>22.074999999999999</v>
      </c>
      <c r="O7" s="135">
        <f>AVERAGE('Raw results fibers'!F22:F27)</f>
        <v>27.063333333333333</v>
      </c>
      <c r="P7" s="138">
        <f>AVERAGE('Raw results fibers'!G22:G27)</f>
        <v>23.908333333333331</v>
      </c>
      <c r="Q7" s="134">
        <f t="shared" si="9"/>
        <v>24.34888888888889</v>
      </c>
      <c r="R7" s="135">
        <f t="shared" si="10"/>
        <v>2.52317939498151</v>
      </c>
      <c r="S7" s="135">
        <f t="shared" si="11"/>
        <v>2.8551938078760224</v>
      </c>
      <c r="T7" s="135">
        <f t="shared" si="12"/>
        <v>19.302530098925871</v>
      </c>
      <c r="U7" s="135">
        <f t="shared" si="13"/>
        <v>29.395247678851909</v>
      </c>
      <c r="V7" s="136" t="str">
        <f t="shared" si="14"/>
        <v/>
      </c>
      <c r="W7" s="136" t="str">
        <f t="shared" si="15"/>
        <v/>
      </c>
      <c r="X7" s="138" t="str">
        <f t="shared" si="16"/>
        <v/>
      </c>
      <c r="Y7" s="111"/>
      <c r="Z7" s="106">
        <f t="shared" si="0"/>
        <v>0.12206473925563022</v>
      </c>
      <c r="AA7" s="127" t="str">
        <f t="shared" si="17"/>
        <v>NO</v>
      </c>
      <c r="AB7" s="7"/>
    </row>
    <row r="8" spans="1:28" x14ac:dyDescent="0.35">
      <c r="A8" s="28" t="s">
        <v>4</v>
      </c>
      <c r="B8" s="139">
        <f>AVERAGE('Raw results fibers'!B28:B33)</f>
        <v>23.641666666666666</v>
      </c>
      <c r="C8" s="135">
        <f>AVERAGE('Raw results fibers'!C28:C33)</f>
        <v>25.808333333333334</v>
      </c>
      <c r="D8" s="138">
        <f>AVERAGE('Raw results fibers'!D28:D33)</f>
        <v>20.421666666666667</v>
      </c>
      <c r="E8" s="134">
        <f t="shared" si="1"/>
        <v>23.290555555555557</v>
      </c>
      <c r="F8" s="135">
        <f t="shared" si="2"/>
        <v>2.7104434514860669</v>
      </c>
      <c r="G8" s="135">
        <f t="shared" si="3"/>
        <v>3.0670991427218128</v>
      </c>
      <c r="H8" s="135">
        <f t="shared" si="4"/>
        <v>17.869668652583421</v>
      </c>
      <c r="I8" s="136">
        <f t="shared" si="5"/>
        <v>28.711442458527692</v>
      </c>
      <c r="J8" s="136" t="str">
        <f t="shared" si="6"/>
        <v/>
      </c>
      <c r="K8" s="136" t="str">
        <f t="shared" si="7"/>
        <v/>
      </c>
      <c r="L8" s="136" t="str">
        <f t="shared" si="8"/>
        <v/>
      </c>
      <c r="M8" s="140"/>
      <c r="N8" s="139">
        <f>AVERAGE('Raw results fibers'!E28:E33)</f>
        <v>22.45333333333333</v>
      </c>
      <c r="O8" s="135">
        <f>AVERAGE('Raw results fibers'!F28:F33)</f>
        <v>22.815000000000001</v>
      </c>
      <c r="P8" s="138">
        <f>AVERAGE('Raw results fibers'!G28:G33)</f>
        <v>21.01</v>
      </c>
      <c r="Q8" s="134">
        <f t="shared" si="9"/>
        <v>22.09277777777778</v>
      </c>
      <c r="R8" s="135">
        <f t="shared" si="10"/>
        <v>0.95499030439134791</v>
      </c>
      <c r="S8" s="135">
        <f t="shared" si="11"/>
        <v>1.08065340463031</v>
      </c>
      <c r="T8" s="135">
        <f t="shared" si="12"/>
        <v>20.182797168995084</v>
      </c>
      <c r="U8" s="135">
        <f t="shared" si="13"/>
        <v>24.002758386560476</v>
      </c>
      <c r="V8" s="136" t="str">
        <f t="shared" si="14"/>
        <v/>
      </c>
      <c r="W8" s="136" t="str">
        <f t="shared" si="15"/>
        <v/>
      </c>
      <c r="X8" s="138" t="str">
        <f t="shared" si="16"/>
        <v/>
      </c>
      <c r="Y8" s="111"/>
      <c r="Z8" s="106">
        <f t="shared" si="0"/>
        <v>0.3663147668397696</v>
      </c>
      <c r="AA8" s="127" t="str">
        <f t="shared" si="17"/>
        <v>NO</v>
      </c>
      <c r="AB8" s="7"/>
    </row>
    <row r="9" spans="1:28" x14ac:dyDescent="0.35">
      <c r="A9" s="28" t="s">
        <v>5</v>
      </c>
      <c r="B9" s="139">
        <f>AVERAGE('Raw results fibers'!B34:B39)</f>
        <v>23.151666666666667</v>
      </c>
      <c r="C9" s="135">
        <f>AVERAGE('Raw results fibers'!C34:C39)</f>
        <v>26.468333333333334</v>
      </c>
      <c r="D9" s="138">
        <f>AVERAGE('Raw results fibers'!D34:D39)</f>
        <v>25.925000000000001</v>
      </c>
      <c r="E9" s="134">
        <f t="shared" si="1"/>
        <v>25.181666666666668</v>
      </c>
      <c r="F9" s="135">
        <f t="shared" si="2"/>
        <v>1.7788979110049508</v>
      </c>
      <c r="G9" s="135">
        <f t="shared" si="3"/>
        <v>2.0129754984711052</v>
      </c>
      <c r="H9" s="135">
        <f t="shared" si="4"/>
        <v>21.623870844656768</v>
      </c>
      <c r="I9" s="136">
        <f t="shared" si="5"/>
        <v>28.739462488676569</v>
      </c>
      <c r="J9" s="136" t="str">
        <f t="shared" si="6"/>
        <v/>
      </c>
      <c r="K9" s="136" t="str">
        <f t="shared" si="7"/>
        <v/>
      </c>
      <c r="L9" s="136" t="str">
        <f t="shared" si="8"/>
        <v/>
      </c>
      <c r="M9" s="140"/>
      <c r="N9" s="139">
        <f>AVERAGE('Raw results fibers'!E34:E39)</f>
        <v>21.850000000000005</v>
      </c>
      <c r="O9" s="135">
        <f>AVERAGE('Raw results fibers'!F34:F39)</f>
        <v>24.708333333333332</v>
      </c>
      <c r="P9" s="138">
        <f>AVERAGE('Raw results fibers'!G34:G39)</f>
        <v>23.808333333333334</v>
      </c>
      <c r="Q9" s="134">
        <f t="shared" si="9"/>
        <v>23.455555555555559</v>
      </c>
      <c r="R9" s="135">
        <f t="shared" si="10"/>
        <v>1.4614569721621886</v>
      </c>
      <c r="S9" s="135">
        <f t="shared" si="11"/>
        <v>1.6537638606648892</v>
      </c>
      <c r="T9" s="135">
        <f t="shared" si="12"/>
        <v>20.532641611231181</v>
      </c>
      <c r="U9" s="135">
        <f t="shared" si="13"/>
        <v>26.378469499879937</v>
      </c>
      <c r="V9" s="136" t="str">
        <f t="shared" si="14"/>
        <v/>
      </c>
      <c r="W9" s="136" t="str">
        <f t="shared" si="15"/>
        <v/>
      </c>
      <c r="X9" s="138" t="str">
        <f t="shared" si="16"/>
        <v/>
      </c>
      <c r="Y9" s="111"/>
      <c r="Z9" s="106">
        <f t="shared" si="0"/>
        <v>1.8166932236228433E-2</v>
      </c>
      <c r="AA9" s="127" t="str">
        <f t="shared" si="17"/>
        <v>YES</v>
      </c>
      <c r="AB9" s="7"/>
    </row>
    <row r="10" spans="1:28" x14ac:dyDescent="0.35">
      <c r="A10" s="28" t="s">
        <v>6</v>
      </c>
      <c r="B10" s="139">
        <f>AVERAGE('Raw results fibers'!B40:B45)</f>
        <v>24.231666666666666</v>
      </c>
      <c r="C10" s="135">
        <f>AVERAGE('Raw results fibers'!C40:C45)</f>
        <v>23.996666666666666</v>
      </c>
      <c r="D10" s="138">
        <f>AVERAGE('Raw results fibers'!D40:D45)</f>
        <v>22.808333333333334</v>
      </c>
      <c r="E10" s="134">
        <f t="shared" si="1"/>
        <v>23.678888888888888</v>
      </c>
      <c r="F10" s="135">
        <f t="shared" si="2"/>
        <v>0.763024561519143</v>
      </c>
      <c r="G10" s="135">
        <f t="shared" si="3"/>
        <v>0.86342770856478823</v>
      </c>
      <c r="H10" s="135">
        <f t="shared" si="4"/>
        <v>22.152839765850601</v>
      </c>
      <c r="I10" s="136">
        <f t="shared" si="5"/>
        <v>25.204938011927176</v>
      </c>
      <c r="J10" s="136" t="str">
        <f t="shared" si="6"/>
        <v/>
      </c>
      <c r="K10" s="136" t="str">
        <f t="shared" si="7"/>
        <v/>
      </c>
      <c r="L10" s="136" t="str">
        <f t="shared" si="8"/>
        <v/>
      </c>
      <c r="M10" s="140"/>
      <c r="N10" s="139">
        <f>AVERAGE('Raw results fibers'!E40:E45)</f>
        <v>17.504999999999999</v>
      </c>
      <c r="O10" s="135">
        <f>AVERAGE('Raw results fibers'!F40:F45)</f>
        <v>20.278333333333336</v>
      </c>
      <c r="P10" s="138">
        <f>AVERAGE('Raw results fibers'!G40:G45)</f>
        <v>25.311666666666667</v>
      </c>
      <c r="Q10" s="134">
        <f t="shared" si="9"/>
        <v>21.031666666666666</v>
      </c>
      <c r="R10" s="135">
        <f t="shared" si="10"/>
        <v>3.9574795570469621</v>
      </c>
      <c r="S10" s="135">
        <f t="shared" si="11"/>
        <v>4.4782274096524288</v>
      </c>
      <c r="T10" s="135">
        <f t="shared" si="12"/>
        <v>13.116707552572741</v>
      </c>
      <c r="U10" s="135">
        <f t="shared" si="13"/>
        <v>28.946625780760591</v>
      </c>
      <c r="V10" s="136" t="str">
        <f t="shared" si="14"/>
        <v/>
      </c>
      <c r="W10" s="136" t="str">
        <f t="shared" si="15"/>
        <v/>
      </c>
      <c r="X10" s="138" t="str">
        <f t="shared" si="16"/>
        <v/>
      </c>
      <c r="Y10" s="111"/>
      <c r="Z10" s="106">
        <f t="shared" si="0"/>
        <v>0.43277018188469241</v>
      </c>
      <c r="AA10" s="127" t="str">
        <f t="shared" si="17"/>
        <v>NO</v>
      </c>
      <c r="AB10" s="7"/>
    </row>
    <row r="11" spans="1:28" x14ac:dyDescent="0.35">
      <c r="A11" s="28" t="s">
        <v>42</v>
      </c>
      <c r="B11" s="139">
        <f>AVERAGE('Raw results fibers'!B46:B51)</f>
        <v>25.061666666666667</v>
      </c>
      <c r="C11" s="135">
        <f>AVERAGE('Raw results fibers'!C46:C51)</f>
        <v>26.37</v>
      </c>
      <c r="D11" s="138">
        <f>AVERAGE('Raw results fibers'!D46:D51)</f>
        <v>24.831666666666667</v>
      </c>
      <c r="E11" s="134">
        <f t="shared" si="1"/>
        <v>25.421111111111113</v>
      </c>
      <c r="F11" s="135">
        <f t="shared" si="2"/>
        <v>0.82976960211410078</v>
      </c>
      <c r="G11" s="135">
        <f t="shared" si="3"/>
        <v>0.93895544432237743</v>
      </c>
      <c r="H11" s="135">
        <f t="shared" si="4"/>
        <v>23.76157190688291</v>
      </c>
      <c r="I11" s="136">
        <f t="shared" si="5"/>
        <v>27.080650315339316</v>
      </c>
      <c r="J11" s="136" t="str">
        <f t="shared" si="6"/>
        <v/>
      </c>
      <c r="K11" s="136" t="str">
        <f t="shared" si="7"/>
        <v/>
      </c>
      <c r="L11" s="136" t="str">
        <f t="shared" si="8"/>
        <v/>
      </c>
      <c r="M11" s="140"/>
      <c r="N11" s="139">
        <f>AVERAGE('Raw results fibers'!E46:E51)</f>
        <v>21.361666666666665</v>
      </c>
      <c r="O11" s="135">
        <f>AVERAGE('Raw results fibers'!F46:F51)</f>
        <v>21.355</v>
      </c>
      <c r="P11" s="138">
        <f>AVERAGE('Raw results fibers'!G46:G51)</f>
        <v>20.62</v>
      </c>
      <c r="Q11" s="134">
        <f t="shared" si="9"/>
        <v>21.112222222222226</v>
      </c>
      <c r="R11" s="135">
        <f t="shared" si="10"/>
        <v>0.42628998128990464</v>
      </c>
      <c r="S11" s="135">
        <f t="shared" si="11"/>
        <v>0.48238366140725419</v>
      </c>
      <c r="T11" s="135">
        <f t="shared" si="12"/>
        <v>20.259642259642415</v>
      </c>
      <c r="U11" s="135">
        <f t="shared" si="13"/>
        <v>21.964802184802036</v>
      </c>
      <c r="V11" s="136" t="str">
        <f t="shared" si="14"/>
        <v/>
      </c>
      <c r="W11" s="136" t="str">
        <f t="shared" si="15"/>
        <v/>
      </c>
      <c r="X11" s="138" t="str">
        <f t="shared" si="16"/>
        <v/>
      </c>
      <c r="Y11" s="111"/>
      <c r="Z11" s="106">
        <f t="shared" si="0"/>
        <v>7.7965311285281679E-3</v>
      </c>
      <c r="AA11" s="127" t="str">
        <f t="shared" si="17"/>
        <v>YES</v>
      </c>
      <c r="AB11" s="7" t="s">
        <v>59</v>
      </c>
    </row>
    <row r="12" spans="1:28" x14ac:dyDescent="0.35">
      <c r="A12" s="37" t="s">
        <v>8</v>
      </c>
      <c r="B12" s="141">
        <f>AVERAGE('Raw results fibers'!B58:B63)</f>
        <v>39.626666666666672</v>
      </c>
      <c r="C12" s="141">
        <f>AVERAGE('Raw results fibers'!C58:C63)</f>
        <v>40.145000000000003</v>
      </c>
      <c r="D12" s="141">
        <f>AVERAGE('Raw results fibers'!D58:D63)</f>
        <v>40.50333333333333</v>
      </c>
      <c r="E12" s="134">
        <f t="shared" si="1"/>
        <v>40.091666666666669</v>
      </c>
      <c r="F12" s="135">
        <f t="shared" si="2"/>
        <v>0.44076007582860854</v>
      </c>
      <c r="G12" s="135">
        <f t="shared" si="3"/>
        <v>0.49875781395798502</v>
      </c>
      <c r="H12" s="135">
        <f t="shared" ref="H12" si="18">E12-2*F12</f>
        <v>39.210146515009448</v>
      </c>
      <c r="I12" s="136">
        <f t="shared" ref="I12" si="19">E12+2*F12</f>
        <v>40.973186818323889</v>
      </c>
      <c r="J12" s="142"/>
      <c r="K12" s="142"/>
      <c r="L12" s="142"/>
      <c r="M12" s="143"/>
      <c r="N12" s="141">
        <f>AVERAGE('Raw results fibers'!E58:E63)</f>
        <v>39.533333333333331</v>
      </c>
      <c r="O12" s="141">
        <f>AVERAGE('Raw results fibers'!F58:F63)</f>
        <v>40.981666666666662</v>
      </c>
      <c r="P12" s="141">
        <f>AVERAGE('Raw results fibers'!G58:G63)</f>
        <v>40.488333333333337</v>
      </c>
      <c r="Q12" s="134">
        <f t="shared" ref="Q12" si="20">AVERAGE(N12:P12)</f>
        <v>40.334444444444443</v>
      </c>
      <c r="R12" s="135">
        <f t="shared" ref="R12" si="21">_xlfn.STDEV.S(N12:P12)</f>
        <v>0.73632785069132267</v>
      </c>
      <c r="S12" s="135">
        <f t="shared" ref="S12" si="22">_xlfn.CONFIDENCE.NORM(0.05, R12, 3)</f>
        <v>0.83321809144526993</v>
      </c>
      <c r="T12" s="135">
        <f t="shared" ref="T12" si="23">Q12-2*R12</f>
        <v>38.861788743061801</v>
      </c>
      <c r="U12" s="135">
        <f t="shared" ref="U12" si="24">Q12+2*R12</f>
        <v>41.807100145827086</v>
      </c>
      <c r="V12" s="142"/>
      <c r="W12" s="142"/>
      <c r="X12" s="144"/>
      <c r="Y12" s="111"/>
      <c r="Z12" s="106">
        <f t="shared" si="0"/>
        <v>0.50058382209259711</v>
      </c>
      <c r="AA12" s="127" t="str">
        <f t="shared" si="17"/>
        <v>NO</v>
      </c>
      <c r="AB12" s="7"/>
    </row>
    <row r="13" spans="1:28" ht="15" thickBot="1" x14ac:dyDescent="0.4">
      <c r="A13" s="29" t="s">
        <v>43</v>
      </c>
      <c r="B13" s="145">
        <f>AVERAGE('Raw results fibers'!B52:B57)</f>
        <v>26.25</v>
      </c>
      <c r="C13" s="146">
        <f>AVERAGE('Raw results fibers'!C52:C57)</f>
        <v>24.241666666666664</v>
      </c>
      <c r="D13" s="147">
        <f>AVERAGE('Raw results fibers'!D52:D57)</f>
        <v>26.103333333333335</v>
      </c>
      <c r="E13" s="148">
        <f t="shared" si="1"/>
        <v>25.531666666666666</v>
      </c>
      <c r="F13" s="146">
        <f t="shared" si="2"/>
        <v>1.1195770530775373</v>
      </c>
      <c r="G13" s="146">
        <f t="shared" si="3"/>
        <v>1.266897421461582</v>
      </c>
      <c r="H13" s="146">
        <f t="shared" si="4"/>
        <v>23.292512560511593</v>
      </c>
      <c r="I13" s="149">
        <f t="shared" si="5"/>
        <v>27.77082077282174</v>
      </c>
      <c r="J13" s="149" t="str">
        <f t="shared" si="6"/>
        <v/>
      </c>
      <c r="K13" s="149" t="str">
        <f t="shared" si="7"/>
        <v/>
      </c>
      <c r="L13" s="149" t="str">
        <f t="shared" si="8"/>
        <v/>
      </c>
      <c r="M13" s="150"/>
      <c r="N13" s="145">
        <f>AVERAGE('Raw results fibers'!E52:E57)</f>
        <v>24.650000000000002</v>
      </c>
      <c r="O13" s="146">
        <f>AVERAGE('Raw results fibers'!F52:F57)</f>
        <v>25.743333333333336</v>
      </c>
      <c r="P13" s="147">
        <f>AVERAGE('Raw results fibers'!G52:G57)</f>
        <v>24.166666666666668</v>
      </c>
      <c r="Q13" s="148">
        <f t="shared" si="9"/>
        <v>24.853333333333335</v>
      </c>
      <c r="R13" s="146">
        <f t="shared" si="10"/>
        <v>0.80776096574282341</v>
      </c>
      <c r="S13" s="146">
        <f t="shared" si="11"/>
        <v>0.91405078537817008</v>
      </c>
      <c r="T13" s="146">
        <f t="shared" si="12"/>
        <v>23.23781140184769</v>
      </c>
      <c r="U13" s="146">
        <f t="shared" si="13"/>
        <v>26.468855264818981</v>
      </c>
      <c r="V13" s="149" t="str">
        <f t="shared" si="14"/>
        <v/>
      </c>
      <c r="W13" s="149" t="str">
        <f t="shared" si="15"/>
        <v/>
      </c>
      <c r="X13" s="147" t="str">
        <f t="shared" si="16"/>
        <v/>
      </c>
      <c r="Y13" s="111"/>
      <c r="Z13" s="106">
        <f t="shared" si="0"/>
        <v>0.59855796158525132</v>
      </c>
      <c r="AA13" s="127" t="str">
        <f t="shared" si="17"/>
        <v>NO</v>
      </c>
      <c r="AB13" s="7"/>
    </row>
    <row r="14" spans="1:28" x14ac:dyDescent="0.35">
      <c r="A14" s="30" t="s">
        <v>47</v>
      </c>
      <c r="B14" s="151" t="s">
        <v>34</v>
      </c>
      <c r="C14" s="152"/>
      <c r="D14" s="153"/>
      <c r="E14" s="154"/>
      <c r="F14" s="154"/>
      <c r="G14" s="154"/>
      <c r="H14" s="154"/>
      <c r="I14" s="155"/>
      <c r="J14" s="155"/>
      <c r="K14" s="155"/>
      <c r="L14" s="155"/>
      <c r="M14" s="156"/>
      <c r="N14" s="151" t="s">
        <v>35</v>
      </c>
      <c r="O14" s="152"/>
      <c r="P14" s="153"/>
      <c r="Q14" s="111"/>
      <c r="R14" s="111"/>
      <c r="S14" s="154"/>
      <c r="T14" s="154"/>
      <c r="U14" s="154"/>
      <c r="V14" s="155"/>
      <c r="W14" s="155" t="str">
        <f t="shared" si="15"/>
        <v/>
      </c>
      <c r="X14" s="157" t="str">
        <f t="shared" si="16"/>
        <v/>
      </c>
      <c r="Y14" s="111"/>
      <c r="Z14" s="106"/>
      <c r="AA14" s="127" t="str">
        <f t="shared" si="17"/>
        <v>YES</v>
      </c>
      <c r="AB14" s="7"/>
    </row>
    <row r="15" spans="1:28" ht="15" thickBot="1" x14ac:dyDescent="0.4">
      <c r="A15" s="31" t="s">
        <v>48</v>
      </c>
      <c r="B15" s="158" t="s">
        <v>50</v>
      </c>
      <c r="C15" s="159"/>
      <c r="D15" s="160"/>
      <c r="E15" s="134"/>
      <c r="F15" s="135"/>
      <c r="G15" s="135"/>
      <c r="H15" s="135"/>
      <c r="I15" s="136"/>
      <c r="J15" s="136"/>
      <c r="K15" s="136"/>
      <c r="L15" s="136"/>
      <c r="M15" s="140"/>
      <c r="N15" s="158" t="s">
        <v>50</v>
      </c>
      <c r="O15" s="159"/>
      <c r="P15" s="160"/>
      <c r="Q15" s="134"/>
      <c r="R15" s="135"/>
      <c r="S15" s="135"/>
      <c r="T15" s="135"/>
      <c r="U15" s="135"/>
      <c r="V15" s="136"/>
      <c r="W15" s="136" t="str">
        <f t="shared" si="15"/>
        <v/>
      </c>
      <c r="X15" s="138" t="str">
        <f t="shared" si="16"/>
        <v/>
      </c>
      <c r="Y15" s="111"/>
      <c r="Z15" s="106"/>
      <c r="AA15" s="127" t="str">
        <f t="shared" si="17"/>
        <v>YES</v>
      </c>
      <c r="AB15" s="7"/>
    </row>
    <row r="16" spans="1:28" ht="15" thickBot="1" x14ac:dyDescent="0.4">
      <c r="A16" s="28" t="s">
        <v>49</v>
      </c>
      <c r="B16" s="115">
        <v>1</v>
      </c>
      <c r="C16" s="116">
        <v>2</v>
      </c>
      <c r="D16" s="114">
        <v>3</v>
      </c>
      <c r="E16" s="161" t="s">
        <v>30</v>
      </c>
      <c r="F16" s="107" t="s">
        <v>31</v>
      </c>
      <c r="G16" s="107" t="s">
        <v>51</v>
      </c>
      <c r="H16" s="107" t="s">
        <v>52</v>
      </c>
      <c r="I16" s="107" t="s">
        <v>53</v>
      </c>
      <c r="J16" s="107" t="s">
        <v>54</v>
      </c>
      <c r="K16" s="107" t="s">
        <v>55</v>
      </c>
      <c r="L16" s="107" t="s">
        <v>56</v>
      </c>
      <c r="M16" s="162" t="s">
        <v>57</v>
      </c>
      <c r="N16" s="115">
        <v>1</v>
      </c>
      <c r="O16" s="116">
        <v>2</v>
      </c>
      <c r="P16" s="114">
        <v>3</v>
      </c>
      <c r="Q16" s="161" t="s">
        <v>30</v>
      </c>
      <c r="R16" s="107" t="s">
        <v>31</v>
      </c>
      <c r="S16" s="107" t="s">
        <v>51</v>
      </c>
      <c r="T16" s="107" t="s">
        <v>52</v>
      </c>
      <c r="U16" s="107" t="s">
        <v>53</v>
      </c>
      <c r="V16" s="107" t="s">
        <v>54</v>
      </c>
      <c r="W16" s="107" t="s">
        <v>55</v>
      </c>
      <c r="X16" s="107" t="s">
        <v>56</v>
      </c>
      <c r="Y16" s="111"/>
      <c r="Z16" s="106"/>
      <c r="AA16" s="127" t="str">
        <f t="shared" si="17"/>
        <v>YES</v>
      </c>
      <c r="AB16" s="7"/>
    </row>
    <row r="17" spans="1:28" x14ac:dyDescent="0.35">
      <c r="A17" s="28" t="s">
        <v>2</v>
      </c>
      <c r="B17" s="139">
        <f>AVERAGE('Raw results fibers'!H4:H9)</f>
        <v>15.481666666666669</v>
      </c>
      <c r="C17" s="135">
        <f>AVERAGE('Raw results fibers'!I4:I9)</f>
        <v>17.438333333333333</v>
      </c>
      <c r="D17" s="138">
        <f>AVERAGE('Raw results fibers'!J4:J9)</f>
        <v>14.908333333333333</v>
      </c>
      <c r="E17" s="134">
        <f>AVERAGE(B17:D17)</f>
        <v>15.942777777777778</v>
      </c>
      <c r="F17" s="135">
        <f>_xlfn.STDEV.S(B17:D17)</f>
        <v>1.3265340525567335</v>
      </c>
      <c r="G17" s="135">
        <f>_xlfn.CONFIDENCE.NORM(0.05, F17, 3)</f>
        <v>1.50108700963945</v>
      </c>
      <c r="H17" s="135">
        <f t="shared" si="4"/>
        <v>13.28970967266431</v>
      </c>
      <c r="I17" s="136">
        <f t="shared" si="5"/>
        <v>18.595845882891243</v>
      </c>
      <c r="J17" s="136" t="str">
        <f t="shared" si="6"/>
        <v/>
      </c>
      <c r="K17" s="136" t="str">
        <f t="shared" si="7"/>
        <v/>
      </c>
      <c r="L17" s="136" t="str">
        <f t="shared" si="8"/>
        <v/>
      </c>
      <c r="M17" s="140"/>
      <c r="N17" s="139">
        <f>AVERAGE('Raw results fibers'!K4:K9)</f>
        <v>15.976666666666668</v>
      </c>
      <c r="O17" s="135">
        <f>AVERAGE('Raw results fibers'!L4:L9)</f>
        <v>13.498333333333335</v>
      </c>
      <c r="P17" s="138">
        <f>AVERAGE('Raw results fibers'!M4:M9)</f>
        <v>15.586666666666668</v>
      </c>
      <c r="Q17" s="134">
        <f>AVERAGE(N17:P17)</f>
        <v>15.020555555555555</v>
      </c>
      <c r="R17" s="135">
        <f>_xlfn.STDEV.S(N17:P17)</f>
        <v>1.3326272435945359</v>
      </c>
      <c r="S17" s="135">
        <f>_xlfn.CONFIDENCE.NORM(0.05, R17, 3)</f>
        <v>1.5079819776928278</v>
      </c>
      <c r="T17" s="135">
        <f t="shared" si="12"/>
        <v>12.355301068366483</v>
      </c>
      <c r="U17" s="135">
        <f t="shared" si="13"/>
        <v>17.685810042744627</v>
      </c>
      <c r="V17" s="136" t="str">
        <f t="shared" si="14"/>
        <v/>
      </c>
      <c r="W17" s="136" t="str">
        <f t="shared" si="15"/>
        <v/>
      </c>
      <c r="X17" s="138" t="str">
        <f t="shared" si="16"/>
        <v/>
      </c>
      <c r="Y17" s="111"/>
      <c r="Z17" s="106">
        <f t="shared" ref="Z17:Z26" si="25">_xlfn.T.TEST(B17:D17,N17:P17,2,1)</f>
        <v>0.60349056436391768</v>
      </c>
      <c r="AA17" s="127" t="str">
        <f t="shared" si="17"/>
        <v>NO</v>
      </c>
      <c r="AB17" s="7"/>
    </row>
    <row r="18" spans="1:28" x14ac:dyDescent="0.35">
      <c r="A18" s="28" t="s">
        <v>1</v>
      </c>
      <c r="B18" s="139">
        <f>AVERAGE('Raw results fibers'!H10:H15)</f>
        <v>14.778333333333334</v>
      </c>
      <c r="C18" s="135">
        <f>AVERAGE('Raw results fibers'!I10:I15)</f>
        <v>17.578333333333337</v>
      </c>
      <c r="D18" s="138">
        <f>AVERAGE('Raw results fibers'!J10:J15)</f>
        <v>16.599999999999998</v>
      </c>
      <c r="E18" s="134">
        <f>AVERAGE(B18:D18)</f>
        <v>16.318888888888889</v>
      </c>
      <c r="F18" s="135">
        <f t="shared" ref="F18:F26" si="26">_xlfn.STDEV.S(B18:D18)</f>
        <v>1.421009356968699</v>
      </c>
      <c r="G18" s="135">
        <f t="shared" ref="G18:G26" si="27">_xlfn.CONFIDENCE.NORM(0.05, F18, 3)</f>
        <v>1.6079939163345336</v>
      </c>
      <c r="H18" s="135">
        <f t="shared" si="4"/>
        <v>13.476870174951491</v>
      </c>
      <c r="I18" s="136">
        <f t="shared" si="5"/>
        <v>19.160907602826288</v>
      </c>
      <c r="J18" s="136" t="str">
        <f t="shared" si="6"/>
        <v/>
      </c>
      <c r="K18" s="136" t="str">
        <f t="shared" si="7"/>
        <v/>
      </c>
      <c r="L18" s="136" t="str">
        <f t="shared" si="8"/>
        <v/>
      </c>
      <c r="M18" s="140"/>
      <c r="N18" s="139">
        <f>AVERAGE('Raw results fibers'!K10:K15)</f>
        <v>14.418333333333335</v>
      </c>
      <c r="O18" s="135">
        <f>AVERAGE('Raw results fibers'!L10:L15)</f>
        <v>14.796666666666667</v>
      </c>
      <c r="P18" s="138">
        <f>AVERAGE('Raw results fibers'!M10:M15)</f>
        <v>15.798333333333334</v>
      </c>
      <c r="Q18" s="134">
        <f t="shared" ref="Q18:Q26" si="28">AVERAGE(N18:P18)</f>
        <v>15.004444444444445</v>
      </c>
      <c r="R18" s="135">
        <f t="shared" ref="R18:R26" si="29">_xlfn.STDEV.S(N18:P18)</f>
        <v>0.71307692691862012</v>
      </c>
      <c r="S18" s="135">
        <f t="shared" ref="S18:S26" si="30">_xlfn.CONFIDENCE.NORM(0.05, R18, 3)</f>
        <v>0.80690767779998718</v>
      </c>
      <c r="T18" s="135">
        <f t="shared" si="12"/>
        <v>13.578290590607205</v>
      </c>
      <c r="U18" s="135">
        <f t="shared" si="13"/>
        <v>16.430598298281687</v>
      </c>
      <c r="V18" s="136" t="str">
        <f t="shared" si="14"/>
        <v/>
      </c>
      <c r="W18" s="136" t="str">
        <f t="shared" si="15"/>
        <v/>
      </c>
      <c r="X18" s="138" t="str">
        <f t="shared" si="16"/>
        <v/>
      </c>
      <c r="Y18" s="111"/>
      <c r="Z18" s="106">
        <f t="shared" si="25"/>
        <v>0.21955978144876065</v>
      </c>
      <c r="AA18" s="127" t="str">
        <f t="shared" si="17"/>
        <v>NO</v>
      </c>
      <c r="AB18" s="7"/>
    </row>
    <row r="19" spans="1:28" x14ac:dyDescent="0.35">
      <c r="A19" s="28" t="s">
        <v>3</v>
      </c>
      <c r="B19" s="139">
        <f>AVERAGE('Raw results fibers'!H16:H21)</f>
        <v>15.031666666666666</v>
      </c>
      <c r="C19" s="135">
        <f>AVERAGE('Raw results fibers'!I16:I21)</f>
        <v>19.09</v>
      </c>
      <c r="D19" s="138">
        <f>AVERAGE('Raw results fibers'!J16:J21)</f>
        <v>14.493333333333334</v>
      </c>
      <c r="E19" s="134">
        <f t="shared" ref="E19:E26" si="31">AVERAGE(B19:D19)</f>
        <v>16.205000000000002</v>
      </c>
      <c r="F19" s="135">
        <f t="shared" si="26"/>
        <v>2.5129403981082312</v>
      </c>
      <c r="G19" s="135">
        <f>_xlfn.CONFIDENCE.NORM(0.05, F19, 3)</f>
        <v>2.8436075050829697</v>
      </c>
      <c r="H19" s="135">
        <f t="shared" si="4"/>
        <v>11.179119203783539</v>
      </c>
      <c r="I19" s="136">
        <f t="shared" si="5"/>
        <v>21.230880796216464</v>
      </c>
      <c r="J19" s="136" t="str">
        <f t="shared" si="6"/>
        <v/>
      </c>
      <c r="K19" s="136" t="str">
        <f t="shared" si="7"/>
        <v/>
      </c>
      <c r="L19" s="136" t="str">
        <f t="shared" si="8"/>
        <v/>
      </c>
      <c r="M19" s="140"/>
      <c r="N19" s="139">
        <f>AVERAGE('Raw results fibers'!K16:K21)</f>
        <v>15.456666666666665</v>
      </c>
      <c r="O19" s="135">
        <f>AVERAGE('Raw results fibers'!L16:L21)</f>
        <v>14.743333333333332</v>
      </c>
      <c r="P19" s="138">
        <f>AVERAGE('Raw results fibers'!M16:M21)</f>
        <v>15.335000000000001</v>
      </c>
      <c r="Q19" s="134">
        <f t="shared" si="28"/>
        <v>15.178333333333333</v>
      </c>
      <c r="R19" s="135">
        <f t="shared" si="29"/>
        <v>0.38160115886150636</v>
      </c>
      <c r="S19" s="135">
        <f t="shared" si="30"/>
        <v>0.4318144274746154</v>
      </c>
      <c r="T19" s="135">
        <f t="shared" si="12"/>
        <v>14.415131015610321</v>
      </c>
      <c r="U19" s="135">
        <f t="shared" si="13"/>
        <v>15.941535651056345</v>
      </c>
      <c r="V19" s="136" t="str">
        <f t="shared" si="14"/>
        <v/>
      </c>
      <c r="W19" s="136" t="str">
        <f t="shared" si="15"/>
        <v/>
      </c>
      <c r="X19" s="138" t="str">
        <f t="shared" si="16"/>
        <v/>
      </c>
      <c r="Y19" s="111"/>
      <c r="Z19" s="106">
        <f t="shared" si="25"/>
        <v>0.60019421389011407</v>
      </c>
      <c r="AA19" s="127" t="str">
        <f t="shared" si="17"/>
        <v>NO</v>
      </c>
      <c r="AB19" s="7"/>
    </row>
    <row r="20" spans="1:28" x14ac:dyDescent="0.35">
      <c r="A20" s="28" t="s">
        <v>0</v>
      </c>
      <c r="B20" s="139">
        <f>AVERAGE('Raw results fibers'!H22:H27)</f>
        <v>16.87</v>
      </c>
      <c r="C20" s="135">
        <f>AVERAGE('Raw results fibers'!I22:I27)</f>
        <v>15.6</v>
      </c>
      <c r="D20" s="138">
        <f>AVERAGE('Raw results fibers'!J22:J27)</f>
        <v>15.654999999999999</v>
      </c>
      <c r="E20" s="134">
        <f t="shared" si="31"/>
        <v>16.041666666666668</v>
      </c>
      <c r="F20" s="135">
        <f t="shared" si="26"/>
        <v>0.71788462397054764</v>
      </c>
      <c r="G20" s="135">
        <f t="shared" si="27"/>
        <v>0.8123479991977085</v>
      </c>
      <c r="H20" s="135">
        <f t="shared" si="4"/>
        <v>14.605897418725572</v>
      </c>
      <c r="I20" s="136">
        <f t="shared" si="5"/>
        <v>17.477435914607764</v>
      </c>
      <c r="J20" s="136" t="str">
        <f t="shared" si="6"/>
        <v/>
      </c>
      <c r="K20" s="136" t="str">
        <f t="shared" si="7"/>
        <v/>
      </c>
      <c r="L20" s="136" t="str">
        <f t="shared" si="8"/>
        <v/>
      </c>
      <c r="M20" s="140"/>
      <c r="N20" s="139">
        <f>AVERAGE('Raw results fibers'!K22:K27)</f>
        <v>16.128333333333334</v>
      </c>
      <c r="O20" s="135">
        <f>AVERAGE('Raw results fibers'!L22:L27)</f>
        <v>14.62</v>
      </c>
      <c r="P20" s="138">
        <f>AVERAGE('Raw results fibers'!M22:M27)</f>
        <v>14.251666666666665</v>
      </c>
      <c r="Q20" s="134">
        <f t="shared" si="28"/>
        <v>15</v>
      </c>
      <c r="R20" s="135">
        <f t="shared" si="29"/>
        <v>0.99436886739501573</v>
      </c>
      <c r="S20" s="135">
        <f t="shared" si="30"/>
        <v>1.1252136247536801</v>
      </c>
      <c r="T20" s="135">
        <f t="shared" si="12"/>
        <v>13.011262265209968</v>
      </c>
      <c r="U20" s="135">
        <f t="shared" si="13"/>
        <v>16.988737734790032</v>
      </c>
      <c r="V20" s="136" t="str">
        <f t="shared" si="14"/>
        <v/>
      </c>
      <c r="W20" s="136" t="str">
        <f t="shared" si="15"/>
        <v/>
      </c>
      <c r="X20" s="138" t="str">
        <f t="shared" si="16"/>
        <v/>
      </c>
      <c r="Y20" s="111"/>
      <c r="Z20" s="106">
        <f t="shared" si="25"/>
        <v>3.2810917247167878E-2</v>
      </c>
      <c r="AA20" s="127" t="str">
        <f t="shared" si="17"/>
        <v>YES</v>
      </c>
      <c r="AB20" s="7"/>
    </row>
    <row r="21" spans="1:28" x14ac:dyDescent="0.35">
      <c r="A21" s="28" t="s">
        <v>4</v>
      </c>
      <c r="B21" s="139">
        <f>AVERAGE('Raw results fibers'!H28:H33)</f>
        <v>16.900000000000002</v>
      </c>
      <c r="C21" s="135">
        <f>AVERAGE('Raw results fibers'!I28:I33)</f>
        <v>13.895000000000001</v>
      </c>
      <c r="D21" s="138">
        <f>AVERAGE('Raw results fibers'!J28:J33)</f>
        <v>16.47</v>
      </c>
      <c r="E21" s="134">
        <f t="shared" si="31"/>
        <v>15.755000000000001</v>
      </c>
      <c r="F21" s="135">
        <f t="shared" si="26"/>
        <v>1.6250923050706994</v>
      </c>
      <c r="G21" s="135">
        <f t="shared" si="27"/>
        <v>1.8389312689749651</v>
      </c>
      <c r="H21" s="135">
        <f t="shared" si="4"/>
        <v>12.504815389858603</v>
      </c>
      <c r="I21" s="136">
        <f t="shared" si="5"/>
        <v>19.005184610141399</v>
      </c>
      <c r="J21" s="136" t="str">
        <f t="shared" si="6"/>
        <v/>
      </c>
      <c r="K21" s="136" t="str">
        <f t="shared" si="7"/>
        <v/>
      </c>
      <c r="L21" s="136" t="str">
        <f t="shared" si="8"/>
        <v/>
      </c>
      <c r="M21" s="140"/>
      <c r="N21" s="139">
        <f>AVERAGE('Raw results fibers'!K28:K33)</f>
        <v>16.484999999999999</v>
      </c>
      <c r="O21" s="135">
        <f>AVERAGE('Raw results fibers'!L28:L33)</f>
        <v>14.251666666666667</v>
      </c>
      <c r="P21" s="138">
        <f>AVERAGE('Raw results fibers'!M28:M33)</f>
        <v>18.03</v>
      </c>
      <c r="Q21" s="134">
        <f t="shared" si="28"/>
        <v>16.255555555555556</v>
      </c>
      <c r="R21" s="135">
        <f t="shared" si="29"/>
        <v>1.8995879182757665</v>
      </c>
      <c r="S21" s="135">
        <f t="shared" si="30"/>
        <v>2.1495465889443097</v>
      </c>
      <c r="T21" s="135">
        <f t="shared" si="12"/>
        <v>12.456379719004023</v>
      </c>
      <c r="U21" s="135">
        <f t="shared" si="13"/>
        <v>20.05473139210709</v>
      </c>
      <c r="V21" s="136" t="str">
        <f t="shared" si="14"/>
        <v/>
      </c>
      <c r="W21" s="136" t="str">
        <f t="shared" si="15"/>
        <v/>
      </c>
      <c r="X21" s="138" t="str">
        <f t="shared" si="16"/>
        <v/>
      </c>
      <c r="Y21" s="111"/>
      <c r="Z21" s="106">
        <f t="shared" si="25"/>
        <v>0.47556673875738786</v>
      </c>
      <c r="AA21" s="127" t="str">
        <f t="shared" si="17"/>
        <v>NO</v>
      </c>
      <c r="AB21" s="7"/>
    </row>
    <row r="22" spans="1:28" x14ac:dyDescent="0.35">
      <c r="A22" s="28" t="s">
        <v>5</v>
      </c>
      <c r="B22" s="139">
        <f>AVERAGE('Raw results fibers'!H34:H39)</f>
        <v>14.85</v>
      </c>
      <c r="C22" s="135">
        <f>AVERAGE('Raw results fibers'!I34:I39)</f>
        <v>15.556666666666667</v>
      </c>
      <c r="D22" s="138">
        <f>AVERAGE('Raw results fibers'!J34:J39)</f>
        <v>14.728333333333333</v>
      </c>
      <c r="E22" s="134">
        <f t="shared" si="31"/>
        <v>15.045</v>
      </c>
      <c r="F22" s="135">
        <f>_xlfn.STDEV.S(B22:D22)</f>
        <v>0.44727259895703175</v>
      </c>
      <c r="G22" s="135">
        <f t="shared" si="27"/>
        <v>0.50612729222294983</v>
      </c>
      <c r="H22" s="135">
        <f t="shared" si="4"/>
        <v>14.150454802085937</v>
      </c>
      <c r="I22" s="136">
        <f t="shared" si="5"/>
        <v>15.939545197914063</v>
      </c>
      <c r="J22" s="136" t="str">
        <f t="shared" si="6"/>
        <v/>
      </c>
      <c r="K22" s="136" t="str">
        <f t="shared" si="7"/>
        <v/>
      </c>
      <c r="L22" s="136" t="str">
        <f t="shared" si="8"/>
        <v/>
      </c>
      <c r="M22" s="140"/>
      <c r="N22" s="139">
        <f>AVERAGE('Raw results fibers'!K34:K39)</f>
        <v>16.928333333333335</v>
      </c>
      <c r="O22" s="135">
        <f>AVERAGE('Raw results fibers'!L34:L39)</f>
        <v>16.866666666666667</v>
      </c>
      <c r="P22" s="138">
        <f>AVERAGE('Raw results fibers'!M34:M39)</f>
        <v>15.225000000000001</v>
      </c>
      <c r="Q22" s="134">
        <f t="shared" si="28"/>
        <v>16.34</v>
      </c>
      <c r="R22" s="135">
        <f t="shared" si="29"/>
        <v>0.96611047217409041</v>
      </c>
      <c r="S22" s="135">
        <f t="shared" si="30"/>
        <v>1.0932368278537947</v>
      </c>
      <c r="T22" s="135">
        <f t="shared" si="12"/>
        <v>14.407779055651819</v>
      </c>
      <c r="U22" s="135">
        <f t="shared" si="13"/>
        <v>18.272220944348181</v>
      </c>
      <c r="V22" s="136" t="str">
        <f t="shared" si="14"/>
        <v/>
      </c>
      <c r="W22" s="136" t="str">
        <f t="shared" si="15"/>
        <v/>
      </c>
      <c r="X22" s="138" t="str">
        <f t="shared" si="16"/>
        <v/>
      </c>
      <c r="Y22" s="111"/>
      <c r="Z22" s="106">
        <f t="shared" si="25"/>
        <v>0.10510334595642856</v>
      </c>
      <c r="AA22" s="127" t="str">
        <f t="shared" si="17"/>
        <v>NO</v>
      </c>
      <c r="AB22" s="7"/>
    </row>
    <row r="23" spans="1:28" x14ac:dyDescent="0.35">
      <c r="A23" s="28" t="s">
        <v>6</v>
      </c>
      <c r="B23" s="139">
        <f>AVERAGE('Raw results fibers'!H40:H45)</f>
        <v>13.653333333333334</v>
      </c>
      <c r="C23" s="135">
        <f>AVERAGE('Raw results fibers'!I40:I45)</f>
        <v>15.561666666666667</v>
      </c>
      <c r="D23" s="138">
        <f>AVERAGE('Raw results fibers'!J40:J45)</f>
        <v>15.154999999999999</v>
      </c>
      <c r="E23" s="134">
        <f t="shared" si="31"/>
        <v>14.790000000000001</v>
      </c>
      <c r="F23" s="135">
        <f t="shared" si="26"/>
        <v>1.0051630602930934</v>
      </c>
      <c r="G23" s="135">
        <f t="shared" si="27"/>
        <v>1.1374281794480112</v>
      </c>
      <c r="H23" s="135">
        <f t="shared" si="4"/>
        <v>12.779673879413814</v>
      </c>
      <c r="I23" s="136">
        <f t="shared" si="5"/>
        <v>16.800326120586188</v>
      </c>
      <c r="J23" s="136" t="str">
        <f t="shared" si="6"/>
        <v/>
      </c>
      <c r="K23" s="136" t="str">
        <f t="shared" si="7"/>
        <v/>
      </c>
      <c r="L23" s="136" t="str">
        <f t="shared" si="8"/>
        <v/>
      </c>
      <c r="M23" s="140"/>
      <c r="N23" s="139">
        <f>AVERAGE('Raw results fibers'!K40:K45)</f>
        <v>13.933333333333335</v>
      </c>
      <c r="O23" s="135">
        <f>AVERAGE('Raw results fibers'!L40:L45)</f>
        <v>15.463333333333333</v>
      </c>
      <c r="P23" s="138">
        <f>AVERAGE('Raw results fibers'!M40:M45)</f>
        <v>16.053333333333335</v>
      </c>
      <c r="Q23" s="134">
        <f t="shared" si="28"/>
        <v>15.15</v>
      </c>
      <c r="R23" s="135">
        <f t="shared" si="29"/>
        <v>1.0941815815180458</v>
      </c>
      <c r="S23" s="135">
        <f t="shared" si="30"/>
        <v>1.2381602681347241</v>
      </c>
      <c r="T23" s="135">
        <f t="shared" si="12"/>
        <v>12.961636836963908</v>
      </c>
      <c r="U23" s="135">
        <f t="shared" si="13"/>
        <v>17.338363163036092</v>
      </c>
      <c r="V23" s="136" t="str">
        <f t="shared" si="14"/>
        <v/>
      </c>
      <c r="W23" s="136" t="str">
        <f t="shared" si="15"/>
        <v/>
      </c>
      <c r="X23" s="138" t="str">
        <f t="shared" si="16"/>
        <v/>
      </c>
      <c r="Y23" s="111"/>
      <c r="Z23" s="106">
        <f t="shared" si="25"/>
        <v>0.34092613800568239</v>
      </c>
      <c r="AA23" s="127" t="str">
        <f t="shared" si="17"/>
        <v>NO</v>
      </c>
      <c r="AB23" s="7"/>
    </row>
    <row r="24" spans="1:28" x14ac:dyDescent="0.35">
      <c r="A24" s="28" t="s">
        <v>42</v>
      </c>
      <c r="B24" s="139">
        <f>AVERAGE('Raw results fibers'!H46:H51)</f>
        <v>24.465</v>
      </c>
      <c r="C24" s="135">
        <f>AVERAGE('Raw results fibers'!I46:I51)</f>
        <v>20.383333333333336</v>
      </c>
      <c r="D24" s="138">
        <f>AVERAGE('Raw results fibers'!J46:J51)</f>
        <v>17.403333333333332</v>
      </c>
      <c r="E24" s="134">
        <f t="shared" si="31"/>
        <v>20.750555555555554</v>
      </c>
      <c r="F24" s="135">
        <f t="shared" si="26"/>
        <v>3.5451266758958311</v>
      </c>
      <c r="G24" s="135">
        <f t="shared" si="27"/>
        <v>4.0116147719366015</v>
      </c>
      <c r="H24" s="135">
        <f t="shared" si="4"/>
        <v>13.660302203763891</v>
      </c>
      <c r="I24" s="136">
        <f t="shared" si="5"/>
        <v>27.840808907347217</v>
      </c>
      <c r="J24" s="136" t="str">
        <f t="shared" si="6"/>
        <v/>
      </c>
      <c r="K24" s="136" t="str">
        <f t="shared" si="7"/>
        <v/>
      </c>
      <c r="L24" s="136" t="str">
        <f t="shared" si="8"/>
        <v/>
      </c>
      <c r="M24" s="140"/>
      <c r="N24" s="139">
        <f>AVERAGE('Raw results fibers'!K46:K51)</f>
        <v>18.783333333333335</v>
      </c>
      <c r="O24" s="135">
        <f>AVERAGE('Raw results fibers'!L46:L51)</f>
        <v>17.528333333333332</v>
      </c>
      <c r="P24" s="138">
        <f>AVERAGE('Raw results fibers'!M46:M51)</f>
        <v>14.951666666666668</v>
      </c>
      <c r="Q24" s="134">
        <f t="shared" si="28"/>
        <v>17.087777777777777</v>
      </c>
      <c r="R24" s="135">
        <f t="shared" si="29"/>
        <v>1.9534544425860714</v>
      </c>
      <c r="S24" s="135">
        <f t="shared" si="30"/>
        <v>2.210501179398118</v>
      </c>
      <c r="T24" s="135">
        <f t="shared" si="12"/>
        <v>13.180868892605634</v>
      </c>
      <c r="U24" s="135">
        <f t="shared" si="13"/>
        <v>20.99468666294992</v>
      </c>
      <c r="V24" s="136" t="str">
        <f t="shared" si="14"/>
        <v/>
      </c>
      <c r="W24" s="136" t="str">
        <f t="shared" si="15"/>
        <v/>
      </c>
      <c r="X24" s="138" t="str">
        <f t="shared" si="16"/>
        <v/>
      </c>
      <c r="Y24" s="111"/>
      <c r="Z24" s="106">
        <f t="shared" si="25"/>
        <v>6.9083083203739015E-2</v>
      </c>
      <c r="AA24" s="127" t="str">
        <f t="shared" si="17"/>
        <v>NO</v>
      </c>
      <c r="AB24" s="7"/>
    </row>
    <row r="25" spans="1:28" x14ac:dyDescent="0.35">
      <c r="A25" s="37" t="s">
        <v>8</v>
      </c>
      <c r="B25" s="141"/>
      <c r="C25" s="141">
        <f>AVERAGE('Raw results fibers'!I58:I63)</f>
        <v>23.356666666666666</v>
      </c>
      <c r="D25" s="143">
        <f>AVERAGE('Raw results fibers'!J58:J63)</f>
        <v>23.86</v>
      </c>
      <c r="E25" s="134">
        <f t="shared" ref="E25" si="32">AVERAGE(B25:D25)</f>
        <v>23.608333333333334</v>
      </c>
      <c r="F25" s="135">
        <f t="shared" ref="F25" si="33">_xlfn.STDEV.S(B25:D25)</f>
        <v>0.35591041319722927</v>
      </c>
      <c r="G25" s="135">
        <f t="shared" ref="G25" si="34">_xlfn.CONFIDENCE.NORM(0.05, F25, 3)</f>
        <v>0.40274314618314022</v>
      </c>
      <c r="H25" s="135">
        <f t="shared" ref="H25" si="35">E25-2*F25</f>
        <v>22.896512506938876</v>
      </c>
      <c r="I25" s="136">
        <f t="shared" ref="I25" si="36">E25+2*F25</f>
        <v>24.320154159727792</v>
      </c>
      <c r="J25" s="142"/>
      <c r="K25" s="142"/>
      <c r="L25" s="142"/>
      <c r="M25" s="143"/>
      <c r="N25" s="141">
        <f>AVERAGE('Raw results fibers'!K58:K63)</f>
        <v>27.701666666666668</v>
      </c>
      <c r="O25" s="141">
        <f>AVERAGE('Raw results fibers'!L58:L63)</f>
        <v>19.353333333333332</v>
      </c>
      <c r="P25" s="141">
        <f>AVERAGE('Raw results fibers'!M58:M63)</f>
        <v>37.091666666666669</v>
      </c>
      <c r="Q25" s="134">
        <f t="shared" ref="Q25" si="37">AVERAGE(N25:P25)</f>
        <v>28.048888888888893</v>
      </c>
      <c r="R25" s="135">
        <f t="shared" ref="R25" si="38">_xlfn.STDEV.S(N25:P25)</f>
        <v>8.874262775848738</v>
      </c>
      <c r="S25" s="135">
        <f t="shared" ref="S25" si="39">_xlfn.CONFIDENCE.NORM(0.05, R25, 3)</f>
        <v>10.041989157593639</v>
      </c>
      <c r="T25" s="135">
        <f t="shared" ref="T25" si="40">Q25-2*R25</f>
        <v>10.300363337191417</v>
      </c>
      <c r="U25" s="135">
        <f t="shared" ref="U25" si="41">Q25+2*R25</f>
        <v>45.797414440586365</v>
      </c>
      <c r="V25" s="142"/>
      <c r="W25" s="142"/>
      <c r="X25" s="144"/>
      <c r="Y25" s="111"/>
      <c r="Z25" s="106">
        <f t="shared" si="25"/>
        <v>0.68703953167230414</v>
      </c>
      <c r="AA25" s="127" t="str">
        <f t="shared" si="17"/>
        <v>NO</v>
      </c>
      <c r="AB25" s="7" t="s">
        <v>59</v>
      </c>
    </row>
    <row r="26" spans="1:28" ht="15" thickBot="1" x14ac:dyDescent="0.4">
      <c r="A26" s="29" t="s">
        <v>43</v>
      </c>
      <c r="B26" s="145">
        <f>AVERAGE('Raw results fibers'!H52:H57)</f>
        <v>14.219999999999999</v>
      </c>
      <c r="C26" s="146">
        <f>AVERAGE('Raw results fibers'!I52:I57)</f>
        <v>14.151666666666666</v>
      </c>
      <c r="D26" s="147">
        <f>AVERAGE('Raw results fibers'!J52:J57)</f>
        <v>15.163333333333334</v>
      </c>
      <c r="E26" s="148">
        <f t="shared" si="31"/>
        <v>14.511666666666665</v>
      </c>
      <c r="F26" s="146">
        <f t="shared" si="26"/>
        <v>0.56539317686407009</v>
      </c>
      <c r="G26" s="146">
        <f t="shared" si="27"/>
        <v>0.63979085308338746</v>
      </c>
      <c r="H26" s="146">
        <f t="shared" si="4"/>
        <v>13.380880312938524</v>
      </c>
      <c r="I26" s="149">
        <f t="shared" si="5"/>
        <v>15.642453020394806</v>
      </c>
      <c r="J26" s="149" t="str">
        <f t="shared" si="6"/>
        <v/>
      </c>
      <c r="K26" s="149" t="str">
        <f t="shared" si="7"/>
        <v/>
      </c>
      <c r="L26" s="149" t="str">
        <f t="shared" si="8"/>
        <v/>
      </c>
      <c r="M26" s="150"/>
      <c r="N26" s="145">
        <f>AVERAGE('Raw results fibers'!K52:K57)</f>
        <v>15.44</v>
      </c>
      <c r="O26" s="146">
        <f>AVERAGE('Raw results fibers'!L52:L57)</f>
        <v>17.361666666666668</v>
      </c>
      <c r="P26" s="147">
        <f>AVERAGE('Raw results fibers'!M52:M57)</f>
        <v>14.209999999999999</v>
      </c>
      <c r="Q26" s="148">
        <f t="shared" si="28"/>
        <v>15.670555555555557</v>
      </c>
      <c r="R26" s="146">
        <f t="shared" si="29"/>
        <v>1.5884324324920454</v>
      </c>
      <c r="S26" s="146">
        <f t="shared" si="30"/>
        <v>1.7974474801519098</v>
      </c>
      <c r="T26" s="146">
        <f t="shared" si="12"/>
        <v>12.493690690571466</v>
      </c>
      <c r="U26" s="146">
        <f t="shared" si="13"/>
        <v>18.847420420539649</v>
      </c>
      <c r="V26" s="149" t="str">
        <f t="shared" si="14"/>
        <v/>
      </c>
      <c r="W26" s="149" t="str">
        <f t="shared" si="15"/>
        <v/>
      </c>
      <c r="X26" s="147" t="str">
        <f t="shared" si="16"/>
        <v/>
      </c>
      <c r="Y26" s="111"/>
      <c r="Z26" s="106">
        <f t="shared" si="25"/>
        <v>0.43678063384671717</v>
      </c>
      <c r="AA26" s="127" t="str">
        <f t="shared" si="17"/>
        <v>NO</v>
      </c>
      <c r="AB26" s="7"/>
    </row>
    <row r="27" spans="1:28" x14ac:dyDescent="0.35">
      <c r="A27" s="30" t="s">
        <v>47</v>
      </c>
      <c r="B27" s="163" t="s">
        <v>36</v>
      </c>
      <c r="C27" s="164"/>
      <c r="D27" s="165"/>
      <c r="E27" s="154"/>
      <c r="F27" s="154"/>
      <c r="G27" s="122"/>
      <c r="H27" s="154"/>
      <c r="I27" s="155"/>
      <c r="J27" s="155"/>
      <c r="K27" s="155"/>
      <c r="L27" s="155"/>
      <c r="M27" s="166"/>
      <c r="N27" s="163" t="s">
        <v>37</v>
      </c>
      <c r="O27" s="164"/>
      <c r="P27" s="165"/>
      <c r="Q27" s="111"/>
      <c r="R27" s="111"/>
      <c r="S27" s="122"/>
      <c r="T27" s="154"/>
      <c r="U27" s="154"/>
      <c r="V27" s="155"/>
      <c r="W27" s="155" t="str">
        <f t="shared" si="15"/>
        <v/>
      </c>
      <c r="X27" s="157" t="str">
        <f t="shared" si="16"/>
        <v/>
      </c>
      <c r="Y27" s="111"/>
      <c r="Z27" s="106"/>
      <c r="AA27" s="107"/>
      <c r="AB27" s="7"/>
    </row>
    <row r="28" spans="1:28" ht="15" thickBot="1" x14ac:dyDescent="0.4">
      <c r="A28" s="31" t="s">
        <v>48</v>
      </c>
      <c r="B28" s="167" t="s">
        <v>50</v>
      </c>
      <c r="C28" s="168"/>
      <c r="D28" s="169"/>
      <c r="E28" s="161"/>
      <c r="F28" s="107"/>
      <c r="G28" s="107"/>
      <c r="H28" s="135"/>
      <c r="I28" s="136"/>
      <c r="J28" s="136"/>
      <c r="K28" s="136"/>
      <c r="L28" s="136"/>
      <c r="M28" s="170"/>
      <c r="N28" s="167" t="s">
        <v>50</v>
      </c>
      <c r="O28" s="168"/>
      <c r="P28" s="169"/>
      <c r="Q28" s="161"/>
      <c r="R28" s="107"/>
      <c r="S28" s="107"/>
      <c r="T28" s="135"/>
      <c r="U28" s="135"/>
      <c r="V28" s="136"/>
      <c r="W28" s="136" t="str">
        <f t="shared" si="15"/>
        <v/>
      </c>
      <c r="X28" s="138" t="str">
        <f t="shared" si="16"/>
        <v/>
      </c>
      <c r="Y28" s="111"/>
      <c r="Z28" s="106"/>
      <c r="AA28" s="107"/>
      <c r="AB28" s="7"/>
    </row>
    <row r="29" spans="1:28" ht="15" thickBot="1" x14ac:dyDescent="0.4">
      <c r="A29" s="28" t="s">
        <v>49</v>
      </c>
      <c r="B29" s="115">
        <v>1</v>
      </c>
      <c r="C29" s="116">
        <v>2</v>
      </c>
      <c r="D29" s="114">
        <v>3</v>
      </c>
      <c r="E29" s="161" t="s">
        <v>30</v>
      </c>
      <c r="F29" s="107" t="s">
        <v>31</v>
      </c>
      <c r="G29" s="107" t="s">
        <v>51</v>
      </c>
      <c r="H29" s="107" t="s">
        <v>52</v>
      </c>
      <c r="I29" s="107" t="s">
        <v>53</v>
      </c>
      <c r="J29" s="107" t="s">
        <v>54</v>
      </c>
      <c r="K29" s="107" t="s">
        <v>55</v>
      </c>
      <c r="L29" s="107" t="s">
        <v>56</v>
      </c>
      <c r="M29" s="162" t="s">
        <v>57</v>
      </c>
      <c r="N29" s="115">
        <v>1</v>
      </c>
      <c r="O29" s="116">
        <v>2</v>
      </c>
      <c r="P29" s="114">
        <v>3</v>
      </c>
      <c r="Q29" s="161" t="s">
        <v>30</v>
      </c>
      <c r="R29" s="107" t="s">
        <v>31</v>
      </c>
      <c r="S29" s="107" t="s">
        <v>51</v>
      </c>
      <c r="T29" s="107" t="s">
        <v>52</v>
      </c>
      <c r="U29" s="107" t="s">
        <v>53</v>
      </c>
      <c r="V29" s="107" t="s">
        <v>54</v>
      </c>
      <c r="W29" s="107" t="s">
        <v>55</v>
      </c>
      <c r="X29" s="107" t="s">
        <v>56</v>
      </c>
      <c r="Y29" s="111"/>
      <c r="Z29" s="106"/>
      <c r="AA29" s="107"/>
      <c r="AB29" s="7"/>
    </row>
    <row r="30" spans="1:28" x14ac:dyDescent="0.35">
      <c r="A30" s="28" t="s">
        <v>2</v>
      </c>
      <c r="B30" s="139">
        <f>AVERAGE('Raw results fibers'!N4:N9)</f>
        <v>24.393333333333334</v>
      </c>
      <c r="C30" s="135">
        <f>AVERAGE('Raw results fibers'!O4:O9)</f>
        <v>16.349999999999998</v>
      </c>
      <c r="D30" s="138">
        <f>AVERAGE('Raw results fibers'!P4:P9)</f>
        <v>24.24</v>
      </c>
      <c r="E30" s="134">
        <f>AVERAGE(B30:D30)</f>
        <v>21.661111111111111</v>
      </c>
      <c r="F30" s="135">
        <f>_xlfn.STDEV.S(B30:D30)</f>
        <v>4.6001960505726007</v>
      </c>
      <c r="G30" s="135">
        <f>_xlfn.CONFIDENCE.NORM(0.05, F30, 3)</f>
        <v>5.2055162247815021</v>
      </c>
      <c r="H30" s="135">
        <f t="shared" si="4"/>
        <v>12.46071900996591</v>
      </c>
      <c r="I30" s="136">
        <f t="shared" si="5"/>
        <v>30.861503212256313</v>
      </c>
      <c r="J30" s="136" t="str">
        <f t="shared" si="6"/>
        <v/>
      </c>
      <c r="K30" s="136" t="str">
        <f t="shared" si="7"/>
        <v/>
      </c>
      <c r="L30" s="136" t="str">
        <f t="shared" si="8"/>
        <v/>
      </c>
      <c r="M30" s="140"/>
      <c r="N30" s="139">
        <f>AVERAGE('Raw results fibers'!Q4:Q9)</f>
        <v>23.72</v>
      </c>
      <c r="O30" s="135">
        <f>AVERAGE('Raw results fibers'!R4:R9)</f>
        <v>24.665000000000003</v>
      </c>
      <c r="P30" s="138">
        <f>AVERAGE('Raw results fibers'!S4:S9)</f>
        <v>21.018333333333334</v>
      </c>
      <c r="Q30" s="134">
        <f>AVERAGE(N30:P30)</f>
        <v>23.134444444444444</v>
      </c>
      <c r="R30" s="135">
        <f>_xlfn.STDEV.S(N30:P30)</f>
        <v>1.8925382231083014</v>
      </c>
      <c r="S30" s="135">
        <f>_xlfn.CONFIDENCE.NORM(0.05, R30, 3)</f>
        <v>2.1415692544632208</v>
      </c>
      <c r="T30" s="135">
        <f t="shared" si="12"/>
        <v>19.349367998227841</v>
      </c>
      <c r="U30" s="135">
        <f t="shared" si="13"/>
        <v>26.919520890661047</v>
      </c>
      <c r="V30" s="136" t="str">
        <f t="shared" si="14"/>
        <v/>
      </c>
      <c r="W30" s="136" t="str">
        <f t="shared" si="15"/>
        <v/>
      </c>
      <c r="X30" s="138" t="str">
        <f t="shared" si="16"/>
        <v/>
      </c>
      <c r="Y30" s="111"/>
      <c r="Z30" s="106">
        <f t="shared" ref="Z30:Z39" si="42">_xlfn.T.TEST(B30:D30,N30:P30,2,1)</f>
        <v>0.71463981865344839</v>
      </c>
      <c r="AA30" s="107" t="str">
        <f>IF(Z30&lt;0.05,"YES","NO")</f>
        <v>NO</v>
      </c>
      <c r="AB30" s="7"/>
    </row>
    <row r="31" spans="1:28" x14ac:dyDescent="0.35">
      <c r="A31" s="28" t="s">
        <v>1</v>
      </c>
      <c r="B31" s="139">
        <f>AVERAGE('Raw results fibers'!N10:N15)</f>
        <v>29.974999999999998</v>
      </c>
      <c r="C31" s="135">
        <f>AVERAGE('Raw results fibers'!O10:O15)</f>
        <v>19.13</v>
      </c>
      <c r="D31" s="138">
        <f>AVERAGE('Raw results fibers'!P10:P15)</f>
        <v>25.108333333333334</v>
      </c>
      <c r="E31" s="134">
        <f t="shared" ref="E31:E39" si="43">AVERAGE(B31:D31)</f>
        <v>24.737777777777779</v>
      </c>
      <c r="F31" s="135">
        <f t="shared" ref="F31:F39" si="44">_xlfn.STDEV.S(B31:D31)</f>
        <v>5.4319876486250029</v>
      </c>
      <c r="G31" s="135">
        <f t="shared" ref="G31:G39" si="45">_xlfn.CONFIDENCE.NORM(0.05, F31, 3)</f>
        <v>6.146759730862021</v>
      </c>
      <c r="H31" s="135">
        <f t="shared" si="4"/>
        <v>13.873802480527774</v>
      </c>
      <c r="I31" s="136">
        <f t="shared" si="5"/>
        <v>35.601753075027787</v>
      </c>
      <c r="J31" s="136" t="str">
        <f t="shared" si="6"/>
        <v/>
      </c>
      <c r="K31" s="136" t="str">
        <f t="shared" si="7"/>
        <v/>
      </c>
      <c r="L31" s="136" t="str">
        <f t="shared" si="8"/>
        <v/>
      </c>
      <c r="M31" s="140"/>
      <c r="N31" s="139">
        <f>AVERAGE('Raw results fibers'!Q10:Q15)</f>
        <v>23.14833333333333</v>
      </c>
      <c r="O31" s="135">
        <f>AVERAGE('Raw results fibers'!R10:R15)</f>
        <v>17.215</v>
      </c>
      <c r="P31" s="138">
        <f>AVERAGE('Raw results fibers'!S10:S15)</f>
        <v>23.363333333333333</v>
      </c>
      <c r="Q31" s="134">
        <f t="shared" ref="Q31:Q39" si="46">AVERAGE(N31:P31)</f>
        <v>21.242222222222221</v>
      </c>
      <c r="R31" s="135">
        <f t="shared" ref="R31:R39" si="47">_xlfn.STDEV.S(N31:P31)</f>
        <v>3.4893330838959096</v>
      </c>
      <c r="S31" s="135">
        <f t="shared" ref="S31:S39" si="48">_xlfn.CONFIDENCE.NORM(0.05, R31, 3)</f>
        <v>3.9484795391766241</v>
      </c>
      <c r="T31" s="135">
        <f t="shared" si="12"/>
        <v>14.263556054430403</v>
      </c>
      <c r="U31" s="135">
        <f t="shared" si="13"/>
        <v>28.220888390014039</v>
      </c>
      <c r="V31" s="136" t="str">
        <f t="shared" si="14"/>
        <v/>
      </c>
      <c r="W31" s="136" t="str">
        <f t="shared" si="15"/>
        <v/>
      </c>
      <c r="X31" s="138" t="str">
        <f t="shared" si="16"/>
        <v/>
      </c>
      <c r="Y31" s="111"/>
      <c r="Z31" s="106">
        <f t="shared" si="42"/>
        <v>0.17081855985250738</v>
      </c>
      <c r="AA31" s="107" t="str">
        <f t="shared" ref="AA31:AA39" si="49">IF(Z31&lt;0.05,"YES","NO")</f>
        <v>NO</v>
      </c>
      <c r="AB31" s="7"/>
    </row>
    <row r="32" spans="1:28" x14ac:dyDescent="0.35">
      <c r="A32" s="28" t="s">
        <v>3</v>
      </c>
      <c r="B32" s="139">
        <f>AVERAGE('Raw results fibers'!N16:N21)</f>
        <v>20.068333333333332</v>
      </c>
      <c r="C32" s="135">
        <f>AVERAGE('Raw results fibers'!O16:O21)</f>
        <v>24.056666666666668</v>
      </c>
      <c r="D32" s="138">
        <f>AVERAGE('Raw results fibers'!P16:P21)</f>
        <v>21.05</v>
      </c>
      <c r="E32" s="134">
        <f t="shared" si="43"/>
        <v>21.724999999999998</v>
      </c>
      <c r="F32" s="135">
        <f t="shared" si="44"/>
        <v>2.0780807117252329</v>
      </c>
      <c r="G32" s="135">
        <f t="shared" si="45"/>
        <v>2.3515264876471305</v>
      </c>
      <c r="H32" s="135">
        <f t="shared" si="4"/>
        <v>17.568838576549531</v>
      </c>
      <c r="I32" s="136">
        <f t="shared" si="5"/>
        <v>25.881161423450465</v>
      </c>
      <c r="J32" s="136" t="str">
        <f t="shared" si="6"/>
        <v/>
      </c>
      <c r="K32" s="136" t="str">
        <f t="shared" si="7"/>
        <v/>
      </c>
      <c r="L32" s="136" t="str">
        <f t="shared" si="8"/>
        <v/>
      </c>
      <c r="M32" s="140"/>
      <c r="N32" s="139">
        <f>AVERAGE('Raw results fibers'!Q16:Q21)</f>
        <v>20.318333333333335</v>
      </c>
      <c r="O32" s="135">
        <f>AVERAGE('Raw results fibers'!R16:R21)</f>
        <v>20.726666666666663</v>
      </c>
      <c r="P32" s="138">
        <f>AVERAGE('Raw results fibers'!S16:S21)</f>
        <v>21.983333333333334</v>
      </c>
      <c r="Q32" s="134">
        <f t="shared" si="46"/>
        <v>21.009444444444444</v>
      </c>
      <c r="R32" s="135">
        <f t="shared" si="47"/>
        <v>0.86777226488503567</v>
      </c>
      <c r="S32" s="135">
        <f t="shared" si="48"/>
        <v>0.98195871537087509</v>
      </c>
      <c r="T32" s="135">
        <f t="shared" si="12"/>
        <v>19.273899914674374</v>
      </c>
      <c r="U32" s="135">
        <f t="shared" si="13"/>
        <v>22.744988974214515</v>
      </c>
      <c r="V32" s="136" t="str">
        <f t="shared" si="14"/>
        <v/>
      </c>
      <c r="W32" s="136" t="str">
        <f t="shared" si="15"/>
        <v/>
      </c>
      <c r="X32" s="138" t="str">
        <f t="shared" si="16"/>
        <v/>
      </c>
      <c r="Y32" s="111"/>
      <c r="Z32" s="106">
        <f t="shared" si="42"/>
        <v>0.64255733311797369</v>
      </c>
      <c r="AA32" s="107" t="str">
        <f t="shared" si="49"/>
        <v>NO</v>
      </c>
      <c r="AB32" s="7"/>
    </row>
    <row r="33" spans="1:28" x14ac:dyDescent="0.35">
      <c r="A33" s="28" t="s">
        <v>0</v>
      </c>
      <c r="B33" s="139">
        <f>AVERAGE('Raw results fibers'!N22:N27)</f>
        <v>21.721666666666664</v>
      </c>
      <c r="C33" s="135">
        <f>AVERAGE('Raw results fibers'!O22:O27)</f>
        <v>25.13</v>
      </c>
      <c r="D33" s="138">
        <f>AVERAGE('Raw results fibers'!P22:P27)</f>
        <v>17.805</v>
      </c>
      <c r="E33" s="134">
        <f t="shared" si="43"/>
        <v>21.552222222222223</v>
      </c>
      <c r="F33" s="135">
        <f t="shared" si="44"/>
        <v>3.6654385569553183</v>
      </c>
      <c r="G33" s="135">
        <f t="shared" si="45"/>
        <v>4.1477579801833864</v>
      </c>
      <c r="H33" s="135">
        <f t="shared" si="4"/>
        <v>14.221345108311587</v>
      </c>
      <c r="I33" s="136">
        <f t="shared" si="5"/>
        <v>28.883099336132858</v>
      </c>
      <c r="J33" s="136" t="str">
        <f t="shared" si="6"/>
        <v/>
      </c>
      <c r="K33" s="136" t="str">
        <f t="shared" si="7"/>
        <v/>
      </c>
      <c r="L33" s="136" t="str">
        <f t="shared" si="8"/>
        <v/>
      </c>
      <c r="M33" s="140"/>
      <c r="N33" s="139">
        <f>AVERAGE('Raw results fibers'!Q22:Q27)</f>
        <v>17.448333333333334</v>
      </c>
      <c r="O33" s="135">
        <f>AVERAGE('Raw results fibers'!R22:R27)</f>
        <v>26.614999999999998</v>
      </c>
      <c r="P33" s="138">
        <f>AVERAGE('Raw results fibers'!S22:S27)</f>
        <v>28.381666666666664</v>
      </c>
      <c r="Q33" s="134">
        <f t="shared" si="46"/>
        <v>24.14833333333333</v>
      </c>
      <c r="R33" s="135">
        <f t="shared" si="47"/>
        <v>5.869222927933297</v>
      </c>
      <c r="S33" s="135">
        <f t="shared" si="48"/>
        <v>6.6415289353620972</v>
      </c>
      <c r="T33" s="135">
        <f t="shared" si="12"/>
        <v>12.409887477466736</v>
      </c>
      <c r="U33" s="135">
        <f t="shared" si="13"/>
        <v>35.886779189199927</v>
      </c>
      <c r="V33" s="136" t="str">
        <f t="shared" si="14"/>
        <v/>
      </c>
      <c r="W33" s="136" t="str">
        <f t="shared" si="15"/>
        <v/>
      </c>
      <c r="X33" s="138" t="str">
        <f t="shared" si="16"/>
        <v/>
      </c>
      <c r="Y33" s="111"/>
      <c r="Z33" s="106">
        <f t="shared" si="42"/>
        <v>0.60911349542669668</v>
      </c>
      <c r="AA33" s="107" t="str">
        <f t="shared" si="49"/>
        <v>NO</v>
      </c>
      <c r="AB33" s="7"/>
    </row>
    <row r="34" spans="1:28" x14ac:dyDescent="0.35">
      <c r="A34" s="28" t="s">
        <v>4</v>
      </c>
      <c r="B34" s="139">
        <f>AVERAGE('Raw results fibers'!N28:N33)</f>
        <v>26.416666666666668</v>
      </c>
      <c r="C34" s="135">
        <f>AVERAGE('Raw results fibers'!O28:O33)</f>
        <v>23.606666666666666</v>
      </c>
      <c r="D34" s="138">
        <f>AVERAGE('Raw results fibers'!P28:P33)</f>
        <v>21.56</v>
      </c>
      <c r="E34" s="134">
        <f t="shared" si="43"/>
        <v>23.861111111111111</v>
      </c>
      <c r="F34" s="135">
        <f t="shared" si="44"/>
        <v>2.4383107388639509</v>
      </c>
      <c r="G34" s="135">
        <f t="shared" si="45"/>
        <v>2.759157647343176</v>
      </c>
      <c r="H34" s="135">
        <f t="shared" si="4"/>
        <v>18.984489633383209</v>
      </c>
      <c r="I34" s="136">
        <f t="shared" si="5"/>
        <v>28.737732588839012</v>
      </c>
      <c r="J34" s="136" t="str">
        <f t="shared" si="6"/>
        <v/>
      </c>
      <c r="K34" s="136" t="str">
        <f t="shared" si="7"/>
        <v/>
      </c>
      <c r="L34" s="136" t="str">
        <f t="shared" si="8"/>
        <v/>
      </c>
      <c r="M34" s="140"/>
      <c r="N34" s="139">
        <f>AVERAGE('Raw results fibers'!Q28:Q33)</f>
        <v>26.708333333333332</v>
      </c>
      <c r="O34" s="135">
        <f>AVERAGE('Raw results fibers'!R28:R33)</f>
        <v>23.486666666666665</v>
      </c>
      <c r="P34" s="138">
        <f>AVERAGE('Raw results fibers'!S28:S33)</f>
        <v>22.275000000000002</v>
      </c>
      <c r="Q34" s="134">
        <f t="shared" si="46"/>
        <v>24.156666666666666</v>
      </c>
      <c r="R34" s="135">
        <f t="shared" si="47"/>
        <v>2.2913502811903519</v>
      </c>
      <c r="S34" s="135">
        <f t="shared" si="48"/>
        <v>2.5928592899664262</v>
      </c>
      <c r="T34" s="135">
        <f t="shared" si="12"/>
        <v>19.573966104285962</v>
      </c>
      <c r="U34" s="135">
        <f t="shared" si="13"/>
        <v>28.739367229047371</v>
      </c>
      <c r="V34" s="136" t="str">
        <f t="shared" si="14"/>
        <v/>
      </c>
      <c r="W34" s="136" t="str">
        <f t="shared" si="15"/>
        <v/>
      </c>
      <c r="X34" s="138" t="str">
        <f t="shared" si="16"/>
        <v/>
      </c>
      <c r="Y34" s="111"/>
      <c r="Z34" s="106">
        <f t="shared" si="42"/>
        <v>0.34492991056249789</v>
      </c>
      <c r="AA34" s="107" t="str">
        <f t="shared" si="49"/>
        <v>NO</v>
      </c>
      <c r="AB34" s="7"/>
    </row>
    <row r="35" spans="1:28" x14ac:dyDescent="0.35">
      <c r="A35" s="28" t="s">
        <v>5</v>
      </c>
      <c r="B35" s="139">
        <f>AVERAGE('Raw results fibers'!N34:N39)</f>
        <v>25.971666666666664</v>
      </c>
      <c r="C35" s="135">
        <f>AVERAGE('Raw results fibers'!O34:O39)</f>
        <v>20.791666666666668</v>
      </c>
      <c r="D35" s="138">
        <f>AVERAGE('Raw results fibers'!P34:P39)</f>
        <v>26.683333333333334</v>
      </c>
      <c r="E35" s="134">
        <f t="shared" si="43"/>
        <v>24.482222222222223</v>
      </c>
      <c r="F35" s="135">
        <f t="shared" si="44"/>
        <v>3.2158618739915461</v>
      </c>
      <c r="G35" s="135">
        <f t="shared" si="45"/>
        <v>3.6390234193682964</v>
      </c>
      <c r="H35" s="135">
        <f t="shared" si="4"/>
        <v>18.050498474239131</v>
      </c>
      <c r="I35" s="136">
        <f t="shared" si="5"/>
        <v>30.913945970205315</v>
      </c>
      <c r="J35" s="136" t="str">
        <f t="shared" si="6"/>
        <v/>
      </c>
      <c r="K35" s="136" t="str">
        <f t="shared" si="7"/>
        <v/>
      </c>
      <c r="L35" s="136" t="str">
        <f t="shared" si="8"/>
        <v/>
      </c>
      <c r="M35" s="140"/>
      <c r="N35" s="139">
        <f>AVERAGE('Raw results fibers'!Q34:Q39)</f>
        <v>30.421666666666667</v>
      </c>
      <c r="O35" s="135">
        <f>AVERAGE('Raw results fibers'!R34:R39)</f>
        <v>23.474999999999998</v>
      </c>
      <c r="P35" s="138">
        <f>AVERAGE('Raw results fibers'!S34:S39)</f>
        <v>26.666666666666668</v>
      </c>
      <c r="Q35" s="134">
        <f t="shared" si="46"/>
        <v>26.854444444444443</v>
      </c>
      <c r="R35" s="135">
        <f t="shared" si="47"/>
        <v>3.477138164470154</v>
      </c>
      <c r="S35" s="135">
        <f t="shared" si="48"/>
        <v>3.9346799423262309</v>
      </c>
      <c r="T35" s="135">
        <f t="shared" si="12"/>
        <v>19.900168115504137</v>
      </c>
      <c r="U35" s="135">
        <f t="shared" si="13"/>
        <v>33.808720773384749</v>
      </c>
      <c r="V35" s="136" t="str">
        <f t="shared" si="14"/>
        <v/>
      </c>
      <c r="W35" s="136" t="str">
        <f t="shared" si="15"/>
        <v/>
      </c>
      <c r="X35" s="138" t="str">
        <f t="shared" si="16"/>
        <v/>
      </c>
      <c r="Y35" s="111"/>
      <c r="Z35" s="106">
        <f t="shared" si="42"/>
        <v>0.20930399902237184</v>
      </c>
      <c r="AA35" s="107" t="str">
        <f t="shared" si="49"/>
        <v>NO</v>
      </c>
      <c r="AB35" s="7"/>
    </row>
    <row r="36" spans="1:28" x14ac:dyDescent="0.35">
      <c r="A36" s="28" t="s">
        <v>6</v>
      </c>
      <c r="B36" s="139">
        <f>AVERAGE('Raw results fibers'!N40:N45)</f>
        <v>21.62</v>
      </c>
      <c r="C36" s="135">
        <f>AVERAGE('Raw results fibers'!O40:O45)</f>
        <v>22.319999999999997</v>
      </c>
      <c r="D36" s="138">
        <f>AVERAGE('Raw results fibers'!P40:P45)</f>
        <v>27.736666666666665</v>
      </c>
      <c r="E36" s="134">
        <f t="shared" si="43"/>
        <v>23.89222222222222</v>
      </c>
      <c r="F36" s="135">
        <f t="shared" si="44"/>
        <v>3.3477327872479341</v>
      </c>
      <c r="G36" s="135">
        <f t="shared" si="45"/>
        <v>3.7882466635488212</v>
      </c>
      <c r="H36" s="135">
        <f t="shared" si="4"/>
        <v>17.196756647726353</v>
      </c>
      <c r="I36" s="136">
        <f t="shared" si="5"/>
        <v>30.587687796718086</v>
      </c>
      <c r="J36" s="136" t="str">
        <f t="shared" si="6"/>
        <v/>
      </c>
      <c r="K36" s="136" t="str">
        <f t="shared" si="7"/>
        <v/>
      </c>
      <c r="L36" s="136" t="str">
        <f t="shared" si="8"/>
        <v/>
      </c>
      <c r="M36" s="140"/>
      <c r="N36" s="139">
        <f>AVERAGE('Raw results fibers'!Q40:Q45)</f>
        <v>27.609999999999996</v>
      </c>
      <c r="O36" s="135">
        <f>AVERAGE('Raw results fibers'!R40:R45)</f>
        <v>20.855</v>
      </c>
      <c r="P36" s="138">
        <f>AVERAGE('Raw results fibers'!S40:S45)</f>
        <v>29.421666666666663</v>
      </c>
      <c r="Q36" s="134">
        <f t="shared" si="46"/>
        <v>25.96222222222222</v>
      </c>
      <c r="R36" s="135">
        <f t="shared" si="47"/>
        <v>4.5147893802644221</v>
      </c>
      <c r="S36" s="135">
        <f t="shared" si="48"/>
        <v>5.1088712550658197</v>
      </c>
      <c r="T36" s="135">
        <f t="shared" si="12"/>
        <v>16.932643461693374</v>
      </c>
      <c r="U36" s="135">
        <f t="shared" si="13"/>
        <v>34.991800982751066</v>
      </c>
      <c r="V36" s="136" t="str">
        <f t="shared" si="14"/>
        <v/>
      </c>
      <c r="W36" s="136" t="str">
        <f t="shared" si="15"/>
        <v/>
      </c>
      <c r="X36" s="138" t="str">
        <f t="shared" si="16"/>
        <v/>
      </c>
      <c r="Y36" s="111"/>
      <c r="Z36" s="106">
        <f t="shared" si="42"/>
        <v>0.43914280111405846</v>
      </c>
      <c r="AA36" s="107" t="str">
        <f t="shared" si="49"/>
        <v>NO</v>
      </c>
      <c r="AB36" s="7"/>
    </row>
    <row r="37" spans="1:28" x14ac:dyDescent="0.35">
      <c r="A37" s="28" t="s">
        <v>42</v>
      </c>
      <c r="B37" s="139">
        <f>AVERAGE('Raw results fibers'!N46:N51)</f>
        <v>20.110000000000003</v>
      </c>
      <c r="C37" s="135"/>
      <c r="D37" s="138">
        <f>AVERAGE('Raw results fibers'!P46:P51)</f>
        <v>18.58666666666667</v>
      </c>
      <c r="E37" s="134">
        <f t="shared" si="43"/>
        <v>19.348333333333336</v>
      </c>
      <c r="F37" s="135">
        <f t="shared" si="44"/>
        <v>1.0771593300075075</v>
      </c>
      <c r="G37" s="135">
        <f t="shared" si="45"/>
        <v>1.2188981311635425</v>
      </c>
      <c r="H37" s="135">
        <f t="shared" si="4"/>
        <v>17.194014673318321</v>
      </c>
      <c r="I37" s="136">
        <f t="shared" si="5"/>
        <v>21.502651993348351</v>
      </c>
      <c r="J37" s="136" t="str">
        <f t="shared" si="6"/>
        <v/>
      </c>
      <c r="K37" s="136"/>
      <c r="L37" s="136" t="str">
        <f t="shared" si="8"/>
        <v/>
      </c>
      <c r="M37" s="140"/>
      <c r="N37" s="139">
        <f>AVERAGE('Raw results fibers'!Q46:Q51)</f>
        <v>20.868333333333329</v>
      </c>
      <c r="O37" s="135"/>
      <c r="P37" s="138">
        <f>AVERAGE('Raw results fibers'!S46:S51)</f>
        <v>18.754999999999999</v>
      </c>
      <c r="Q37" s="134">
        <f t="shared" si="46"/>
        <v>19.811666666666664</v>
      </c>
      <c r="R37" s="135">
        <f t="shared" si="47"/>
        <v>1.4943523309075679</v>
      </c>
      <c r="S37" s="135">
        <f t="shared" si="48"/>
        <v>1.6909877793384782</v>
      </c>
      <c r="T37" s="135">
        <f t="shared" si="12"/>
        <v>16.822962004851529</v>
      </c>
      <c r="U37" s="135">
        <f t="shared" si="13"/>
        <v>22.800371328481798</v>
      </c>
      <c r="V37" s="136" t="str">
        <f t="shared" si="14"/>
        <v/>
      </c>
      <c r="W37" s="136"/>
      <c r="X37" s="138" t="str">
        <f t="shared" si="16"/>
        <v/>
      </c>
      <c r="Y37" s="111"/>
      <c r="Z37" s="106">
        <f t="shared" si="42"/>
        <v>0.36093917992463809</v>
      </c>
      <c r="AA37" s="107" t="str">
        <f t="shared" si="49"/>
        <v>NO</v>
      </c>
      <c r="AB37" s="7"/>
    </row>
    <row r="38" spans="1:28" x14ac:dyDescent="0.35">
      <c r="A38" s="37" t="s">
        <v>8</v>
      </c>
      <c r="B38" s="141">
        <f>AVERAGE('Raw results fibers'!N58:N63)</f>
        <v>29.86</v>
      </c>
      <c r="C38" s="135"/>
      <c r="D38" s="138"/>
      <c r="E38" s="134">
        <f t="shared" si="43"/>
        <v>29.86</v>
      </c>
      <c r="F38" s="135" t="s">
        <v>10</v>
      </c>
      <c r="G38" s="135" t="s">
        <v>10</v>
      </c>
      <c r="H38" s="171" t="s">
        <v>10</v>
      </c>
      <c r="I38" s="142" t="s">
        <v>10</v>
      </c>
      <c r="J38" s="142"/>
      <c r="K38" s="142"/>
      <c r="L38" s="142"/>
      <c r="M38" s="143"/>
      <c r="N38" s="141">
        <f>AVERAGE('Raw results fibers'!Q58:Q63)</f>
        <v>35.32</v>
      </c>
      <c r="O38" s="141"/>
      <c r="P38" s="144"/>
      <c r="Q38" s="134">
        <f t="shared" si="46"/>
        <v>35.32</v>
      </c>
      <c r="R38" s="171" t="s">
        <v>10</v>
      </c>
      <c r="S38" s="171" t="s">
        <v>10</v>
      </c>
      <c r="T38" s="171" t="s">
        <v>10</v>
      </c>
      <c r="U38" s="171" t="s">
        <v>10</v>
      </c>
      <c r="V38" s="142"/>
      <c r="W38" s="142"/>
      <c r="X38" s="144"/>
      <c r="Y38" s="111"/>
      <c r="Z38" s="106" t="s">
        <v>10</v>
      </c>
      <c r="AA38" s="107" t="str">
        <f t="shared" si="49"/>
        <v>NO</v>
      </c>
      <c r="AB38" s="7"/>
    </row>
    <row r="39" spans="1:28" ht="15" thickBot="1" x14ac:dyDescent="0.4">
      <c r="A39" s="29" t="s">
        <v>43</v>
      </c>
      <c r="B39" s="145">
        <f>AVERAGE('Raw results fibers'!N52:N57)</f>
        <v>15.778333333333331</v>
      </c>
      <c r="C39" s="146">
        <f>AVERAGE('Raw results fibers'!O52:O57)</f>
        <v>26.01</v>
      </c>
      <c r="D39" s="147">
        <f>AVERAGE('Raw results fibers'!P52:P57)</f>
        <v>25.736666666666668</v>
      </c>
      <c r="E39" s="148">
        <f t="shared" si="43"/>
        <v>22.508333333333336</v>
      </c>
      <c r="F39" s="146">
        <f t="shared" si="44"/>
        <v>5.8299530682311387</v>
      </c>
      <c r="G39" s="146">
        <f t="shared" si="45"/>
        <v>6.5970917223439614</v>
      </c>
      <c r="H39" s="146">
        <f t="shared" si="4"/>
        <v>10.848427196871059</v>
      </c>
      <c r="I39" s="149">
        <f t="shared" si="5"/>
        <v>34.168239469795616</v>
      </c>
      <c r="J39" s="149" t="str">
        <f t="shared" si="6"/>
        <v/>
      </c>
      <c r="K39" s="149" t="str">
        <f t="shared" si="7"/>
        <v/>
      </c>
      <c r="L39" s="149" t="str">
        <f t="shared" si="8"/>
        <v/>
      </c>
      <c r="M39" s="150" t="s">
        <v>59</v>
      </c>
      <c r="N39" s="145">
        <f>AVERAGE('Raw results fibers'!Q52:Q57)</f>
        <v>24.756666666666671</v>
      </c>
      <c r="O39" s="146">
        <f>AVERAGE('Raw results fibers'!R52:R57)</f>
        <v>25.558333333333334</v>
      </c>
      <c r="P39" s="147">
        <f>AVERAGE('Raw results fibers'!S52:S57)</f>
        <v>22.808333333333334</v>
      </c>
      <c r="Q39" s="148">
        <f t="shared" si="46"/>
        <v>24.374444444444446</v>
      </c>
      <c r="R39" s="146">
        <f t="shared" si="47"/>
        <v>1.4142826345431707</v>
      </c>
      <c r="S39" s="146">
        <f t="shared" si="48"/>
        <v>1.6003820532007158</v>
      </c>
      <c r="T39" s="146">
        <f t="shared" si="12"/>
        <v>21.545879175358106</v>
      </c>
      <c r="U39" s="146">
        <f t="shared" si="13"/>
        <v>27.203009713530786</v>
      </c>
      <c r="V39" s="149" t="str">
        <f t="shared" si="14"/>
        <v/>
      </c>
      <c r="W39" s="149" t="str">
        <f t="shared" si="15"/>
        <v/>
      </c>
      <c r="X39" s="147" t="str">
        <f t="shared" si="16"/>
        <v/>
      </c>
      <c r="Y39" s="111"/>
      <c r="Z39" s="106">
        <f t="shared" si="42"/>
        <v>0.65813502462034712</v>
      </c>
      <c r="AA39" s="107" t="str">
        <f t="shared" si="49"/>
        <v>NO</v>
      </c>
      <c r="AB39" s="7"/>
    </row>
    <row r="40" spans="1:28" x14ac:dyDescent="0.35">
      <c r="A40" s="30" t="s">
        <v>47</v>
      </c>
      <c r="B40" s="163" t="s">
        <v>117</v>
      </c>
      <c r="C40" s="164"/>
      <c r="D40" s="165"/>
      <c r="E40" s="154"/>
      <c r="F40" s="154"/>
      <c r="G40" s="122"/>
      <c r="H40" s="154"/>
      <c r="I40" s="155"/>
      <c r="J40" s="155"/>
      <c r="K40" s="155"/>
      <c r="L40" s="155"/>
      <c r="M40" s="166"/>
      <c r="N40" s="163" t="s">
        <v>122</v>
      </c>
      <c r="O40" s="164"/>
      <c r="P40" s="165"/>
      <c r="Q40" s="172"/>
      <c r="R40" s="172"/>
      <c r="S40" s="122"/>
      <c r="T40" s="154"/>
      <c r="U40" s="154"/>
      <c r="V40" s="155"/>
      <c r="W40" s="155" t="str">
        <f t="shared" si="15"/>
        <v/>
      </c>
      <c r="X40" s="157" t="str">
        <f t="shared" si="16"/>
        <v/>
      </c>
      <c r="Y40" s="111"/>
      <c r="Z40" s="106"/>
      <c r="AA40" s="107"/>
      <c r="AB40" s="7"/>
    </row>
    <row r="41" spans="1:28" ht="17" thickBot="1" x14ac:dyDescent="0.4">
      <c r="A41" s="31" t="s">
        <v>48</v>
      </c>
      <c r="B41" s="167" t="s">
        <v>149</v>
      </c>
      <c r="C41" s="168"/>
      <c r="D41" s="169"/>
      <c r="E41" s="161"/>
      <c r="F41" s="107"/>
      <c r="G41" s="107"/>
      <c r="H41" s="135"/>
      <c r="I41" s="136"/>
      <c r="J41" s="136"/>
      <c r="K41" s="136"/>
      <c r="L41" s="136"/>
      <c r="M41" s="170"/>
      <c r="N41" s="167" t="s">
        <v>148</v>
      </c>
      <c r="O41" s="168"/>
      <c r="P41" s="169"/>
      <c r="Q41" s="161"/>
      <c r="R41" s="107"/>
      <c r="S41" s="107"/>
      <c r="T41" s="135"/>
      <c r="U41" s="135"/>
      <c r="V41" s="136"/>
      <c r="W41" s="136" t="str">
        <f t="shared" si="15"/>
        <v/>
      </c>
      <c r="X41" s="138" t="str">
        <f t="shared" si="16"/>
        <v/>
      </c>
      <c r="Y41" s="111"/>
      <c r="Z41" s="106"/>
      <c r="AA41" s="107"/>
      <c r="AB41" s="7"/>
    </row>
    <row r="42" spans="1:28" ht="15" thickBot="1" x14ac:dyDescent="0.4">
      <c r="A42" s="28" t="s">
        <v>49</v>
      </c>
      <c r="B42" s="115">
        <v>1</v>
      </c>
      <c r="C42" s="116">
        <v>2</v>
      </c>
      <c r="D42" s="114">
        <v>3</v>
      </c>
      <c r="E42" s="161" t="s">
        <v>30</v>
      </c>
      <c r="F42" s="107" t="s">
        <v>31</v>
      </c>
      <c r="G42" s="107" t="s">
        <v>51</v>
      </c>
      <c r="H42" s="107" t="s">
        <v>52</v>
      </c>
      <c r="I42" s="107" t="s">
        <v>53</v>
      </c>
      <c r="J42" s="107" t="s">
        <v>54</v>
      </c>
      <c r="K42" s="107" t="s">
        <v>55</v>
      </c>
      <c r="L42" s="107" t="s">
        <v>56</v>
      </c>
      <c r="M42" s="162" t="s">
        <v>57</v>
      </c>
      <c r="N42" s="115">
        <v>1</v>
      </c>
      <c r="O42" s="116">
        <v>2</v>
      </c>
      <c r="P42" s="114">
        <v>3</v>
      </c>
      <c r="Q42" s="161" t="s">
        <v>30</v>
      </c>
      <c r="R42" s="107" t="s">
        <v>31</v>
      </c>
      <c r="S42" s="107" t="s">
        <v>51</v>
      </c>
      <c r="T42" s="107" t="s">
        <v>52</v>
      </c>
      <c r="U42" s="107" t="s">
        <v>53</v>
      </c>
      <c r="V42" s="107" t="s">
        <v>54</v>
      </c>
      <c r="W42" s="107" t="s">
        <v>55</v>
      </c>
      <c r="X42" s="107" t="s">
        <v>56</v>
      </c>
      <c r="Y42" s="111"/>
      <c r="Z42" s="106"/>
      <c r="AA42" s="107"/>
      <c r="AB42" s="7"/>
    </row>
    <row r="43" spans="1:28" x14ac:dyDescent="0.35">
      <c r="A43" s="28" t="s">
        <v>2</v>
      </c>
      <c r="B43" s="173">
        <v>6770755.8837000001</v>
      </c>
      <c r="C43" s="174">
        <v>3446925.7629</v>
      </c>
      <c r="D43" s="175">
        <f>8188187.6009+6937.95709999999</f>
        <v>8195125.5580000002</v>
      </c>
      <c r="E43" s="176">
        <f>AVERAGE(B43:D43)</f>
        <v>6137602.4015333327</v>
      </c>
      <c r="F43" s="177">
        <f>_xlfn.STDEV.S(B43:D43)</f>
        <v>2436598.6174443597</v>
      </c>
      <c r="G43" s="177">
        <f>_xlfn.CONFIDENCE.NORM(0.05, F43, 3)</f>
        <v>2757220.2351697604</v>
      </c>
      <c r="H43" s="135">
        <f t="shared" si="4"/>
        <v>1264405.1666446133</v>
      </c>
      <c r="I43" s="136">
        <f t="shared" si="5"/>
        <v>11010799.636422053</v>
      </c>
      <c r="J43" s="136" t="str">
        <f t="shared" si="6"/>
        <v/>
      </c>
      <c r="K43" s="136" t="str">
        <f t="shared" si="7"/>
        <v/>
      </c>
      <c r="L43" s="136" t="str">
        <f t="shared" si="8"/>
        <v/>
      </c>
      <c r="M43" s="170"/>
      <c r="N43" s="173">
        <v>6980921.7938999999</v>
      </c>
      <c r="O43" s="174">
        <v>3469990.2848999999</v>
      </c>
      <c r="P43" s="175">
        <v>8148703.7479999997</v>
      </c>
      <c r="Q43" s="176">
        <f>AVERAGE(N43:P43)</f>
        <v>6199871.9422666663</v>
      </c>
      <c r="R43" s="177">
        <f>_xlfn.STDEV.S(N43:P43)</f>
        <v>2435183.5804515094</v>
      </c>
      <c r="S43" s="177">
        <f>_xlfn.CONFIDENCE.NORM(0.05, R43, 3)</f>
        <v>2755618.9994954611</v>
      </c>
      <c r="T43" s="135">
        <f t="shared" si="12"/>
        <v>1329504.7813636474</v>
      </c>
      <c r="U43" s="135">
        <f t="shared" si="13"/>
        <v>11070239.103169685</v>
      </c>
      <c r="V43" s="136" t="str">
        <f t="shared" si="14"/>
        <v/>
      </c>
      <c r="W43" s="136" t="str">
        <f t="shared" si="15"/>
        <v/>
      </c>
      <c r="X43" s="138" t="str">
        <f t="shared" si="16"/>
        <v/>
      </c>
      <c r="Y43" s="111"/>
      <c r="Z43" s="106">
        <f t="shared" ref="Z43:Z52" si="50">_xlfn.T.TEST(B43:D43,N43:P43,2,1)</f>
        <v>0.50174622704738658</v>
      </c>
      <c r="AA43" s="107" t="str">
        <f>IF(Z43&lt;0.05,"YES","NO")</f>
        <v>NO</v>
      </c>
      <c r="AB43" s="7"/>
    </row>
    <row r="44" spans="1:28" x14ac:dyDescent="0.35">
      <c r="A44" s="28" t="s">
        <v>1</v>
      </c>
      <c r="B44" s="173">
        <f>7524710.0545+13026.3685+9221.1114</f>
        <v>7546957.5343999993</v>
      </c>
      <c r="C44" s="174">
        <v>6201124.4011000004</v>
      </c>
      <c r="D44" s="175">
        <v>6526473.0184000004</v>
      </c>
      <c r="E44" s="176">
        <f t="shared" ref="E44:E52" si="51">AVERAGE(B44:D44)</f>
        <v>6758184.984633334</v>
      </c>
      <c r="F44" s="177">
        <f t="shared" ref="F44:F52" si="52">_xlfn.STDEV.S(B44:D44)</f>
        <v>702199.78079162852</v>
      </c>
      <c r="G44" s="177">
        <f t="shared" ref="G44:G52" si="53">_xlfn.CONFIDENCE.NORM(0.05, F44, 3)</f>
        <v>794599.25441522175</v>
      </c>
      <c r="H44" s="135">
        <f t="shared" si="4"/>
        <v>5353785.4230500767</v>
      </c>
      <c r="I44" s="136">
        <f t="shared" si="5"/>
        <v>8162584.5462165913</v>
      </c>
      <c r="J44" s="136" t="str">
        <f t="shared" si="6"/>
        <v/>
      </c>
      <c r="K44" s="136" t="str">
        <f t="shared" si="7"/>
        <v/>
      </c>
      <c r="L44" s="136" t="str">
        <f t="shared" si="8"/>
        <v/>
      </c>
      <c r="M44" s="170"/>
      <c r="N44" s="173">
        <v>7570067.7808999997</v>
      </c>
      <c r="O44" s="174">
        <v>12814620.8631</v>
      </c>
      <c r="P44" s="175">
        <v>6651672.8243000004</v>
      </c>
      <c r="Q44" s="176">
        <f t="shared" ref="Q44:Q52" si="54">AVERAGE(N44:P44)</f>
        <v>9012120.4894333333</v>
      </c>
      <c r="R44" s="177">
        <f t="shared" ref="R44:R52" si="55">_xlfn.STDEV.S(N44:P44)</f>
        <v>3324923.9303897545</v>
      </c>
      <c r="S44" s="177">
        <f t="shared" ref="S44:S52" si="56">_xlfn.CONFIDENCE.NORM(0.05, R44, 3)</f>
        <v>3762436.4865175202</v>
      </c>
      <c r="T44" s="135">
        <f t="shared" si="12"/>
        <v>2362272.6286538243</v>
      </c>
      <c r="U44" s="135">
        <f t="shared" si="13"/>
        <v>15661968.350212842</v>
      </c>
      <c r="V44" s="136" t="str">
        <f t="shared" si="14"/>
        <v/>
      </c>
      <c r="W44" s="136" t="str">
        <f t="shared" si="15"/>
        <v/>
      </c>
      <c r="X44" s="138" t="str">
        <f t="shared" si="16"/>
        <v/>
      </c>
      <c r="Y44" s="111"/>
      <c r="Z44" s="106">
        <f t="shared" si="50"/>
        <v>0.4098117913781435</v>
      </c>
      <c r="AA44" s="107" t="str">
        <f t="shared" ref="AA44:AA52" si="57">IF(Z44&lt;0.05,"YES","NO")</f>
        <v>NO</v>
      </c>
      <c r="AB44" s="7"/>
    </row>
    <row r="45" spans="1:28" x14ac:dyDescent="0.35">
      <c r="A45" s="28" t="s">
        <v>3</v>
      </c>
      <c r="B45" s="173">
        <f>567.1512+4229033.4901</f>
        <v>4229600.6413000003</v>
      </c>
      <c r="C45" s="174">
        <v>4781579.8642999995</v>
      </c>
      <c r="D45" s="175">
        <v>2531009.2311</v>
      </c>
      <c r="E45" s="176">
        <f t="shared" si="51"/>
        <v>3847396.5789000001</v>
      </c>
      <c r="F45" s="177">
        <f t="shared" si="52"/>
        <v>1172956.5221021022</v>
      </c>
      <c r="G45" s="177">
        <f t="shared" si="53"/>
        <v>1327300.8671023403</v>
      </c>
      <c r="H45" s="135">
        <f t="shared" si="4"/>
        <v>1501483.5346957957</v>
      </c>
      <c r="I45" s="136">
        <f t="shared" si="5"/>
        <v>6193309.6231042044</v>
      </c>
      <c r="J45" s="136" t="str">
        <f t="shared" si="6"/>
        <v/>
      </c>
      <c r="K45" s="136" t="str">
        <f t="shared" si="7"/>
        <v/>
      </c>
      <c r="L45" s="136" t="str">
        <f t="shared" si="8"/>
        <v/>
      </c>
      <c r="M45" s="170"/>
      <c r="N45" s="173">
        <v>4152592.1483999998</v>
      </c>
      <c r="O45" s="174">
        <v>4581624.2745000003</v>
      </c>
      <c r="P45" s="175">
        <v>2484706.9388000001</v>
      </c>
      <c r="Q45" s="176">
        <f t="shared" si="54"/>
        <v>3739641.1205666666</v>
      </c>
      <c r="R45" s="177">
        <f t="shared" si="55"/>
        <v>1107773.4388092405</v>
      </c>
      <c r="S45" s="177">
        <f t="shared" si="56"/>
        <v>1253540.6199450393</v>
      </c>
      <c r="T45" s="135">
        <f t="shared" si="12"/>
        <v>1524094.2429481857</v>
      </c>
      <c r="U45" s="135">
        <f t="shared" si="13"/>
        <v>5955187.9981851475</v>
      </c>
      <c r="V45" s="136" t="str">
        <f t="shared" si="14"/>
        <v/>
      </c>
      <c r="W45" s="136" t="str">
        <f t="shared" si="15"/>
        <v/>
      </c>
      <c r="X45" s="138" t="str">
        <f t="shared" si="16"/>
        <v/>
      </c>
      <c r="Y45" s="111"/>
      <c r="Z45" s="106">
        <f t="shared" si="50"/>
        <v>0.14861876971764154</v>
      </c>
      <c r="AA45" s="107" t="str">
        <f t="shared" si="57"/>
        <v>NO</v>
      </c>
      <c r="AB45" s="7"/>
    </row>
    <row r="46" spans="1:28" x14ac:dyDescent="0.35">
      <c r="A46" s="28" t="s">
        <v>0</v>
      </c>
      <c r="B46" s="173">
        <v>2830438.7168000001</v>
      </c>
      <c r="C46" s="174">
        <v>8393482.6423000004</v>
      </c>
      <c r="D46" s="175">
        <v>3064116.8997999998</v>
      </c>
      <c r="E46" s="176">
        <f t="shared" si="51"/>
        <v>4762679.4196333336</v>
      </c>
      <c r="F46" s="177">
        <f t="shared" si="52"/>
        <v>3146537.8441387811</v>
      </c>
      <c r="G46" s="177">
        <f t="shared" si="53"/>
        <v>3560577.336158237</v>
      </c>
      <c r="H46" s="135">
        <f t="shared" si="4"/>
        <v>-1530396.2686442286</v>
      </c>
      <c r="I46" s="136">
        <f t="shared" si="5"/>
        <v>11055755.107910896</v>
      </c>
      <c r="J46" s="136" t="str">
        <f t="shared" si="6"/>
        <v/>
      </c>
      <c r="K46" s="136" t="str">
        <f t="shared" si="7"/>
        <v/>
      </c>
      <c r="L46" s="136" t="str">
        <f t="shared" si="8"/>
        <v/>
      </c>
      <c r="M46" s="170"/>
      <c r="N46" s="173">
        <v>2793449.8495</v>
      </c>
      <c r="O46" s="174">
        <v>8550955.7054999992</v>
      </c>
      <c r="P46" s="175">
        <v>3091009.2483000001</v>
      </c>
      <c r="Q46" s="176">
        <f t="shared" si="54"/>
        <v>4811804.9344333336</v>
      </c>
      <c r="R46" s="177">
        <f t="shared" si="55"/>
        <v>3241615.6103908857</v>
      </c>
      <c r="S46" s="177">
        <f t="shared" si="56"/>
        <v>3668165.9800769472</v>
      </c>
      <c r="T46" s="135">
        <f t="shared" si="12"/>
        <v>-1671426.2863484379</v>
      </c>
      <c r="U46" s="135">
        <f t="shared" si="13"/>
        <v>11295036.155215105</v>
      </c>
      <c r="V46" s="136" t="str">
        <f t="shared" si="14"/>
        <v/>
      </c>
      <c r="W46" s="136" t="str">
        <f t="shared" si="15"/>
        <v/>
      </c>
      <c r="X46" s="138" t="str">
        <f t="shared" si="16"/>
        <v/>
      </c>
      <c r="Y46" s="111"/>
      <c r="Z46" s="106">
        <f t="shared" si="50"/>
        <v>0.48110524255539866</v>
      </c>
      <c r="AA46" s="107" t="str">
        <f t="shared" si="57"/>
        <v>NO</v>
      </c>
      <c r="AB46" s="7"/>
    </row>
    <row r="47" spans="1:28" x14ac:dyDescent="0.35">
      <c r="A47" s="28" t="s">
        <v>4</v>
      </c>
      <c r="B47" s="173">
        <v>6887975.5009000003</v>
      </c>
      <c r="C47" s="174">
        <v>1187910.013</v>
      </c>
      <c r="D47" s="175">
        <f>8889438.605+166015.7775</f>
        <v>9055454.3825000003</v>
      </c>
      <c r="E47" s="176">
        <f t="shared" si="51"/>
        <v>5710446.6321333339</v>
      </c>
      <c r="F47" s="177">
        <f t="shared" si="52"/>
        <v>4063802.933103052</v>
      </c>
      <c r="G47" s="177">
        <f t="shared" si="53"/>
        <v>4598541.4251963161</v>
      </c>
      <c r="H47" s="135">
        <f t="shared" si="4"/>
        <v>-2417159.23407277</v>
      </c>
      <c r="I47" s="136">
        <f t="shared" si="5"/>
        <v>13838052.498339437</v>
      </c>
      <c r="J47" s="136" t="str">
        <f t="shared" si="6"/>
        <v/>
      </c>
      <c r="K47" s="136" t="str">
        <f t="shared" si="7"/>
        <v/>
      </c>
      <c r="L47" s="136" t="str">
        <f t="shared" si="8"/>
        <v/>
      </c>
      <c r="M47" s="170"/>
      <c r="N47" s="173">
        <v>7035900.0091000004</v>
      </c>
      <c r="O47" s="174">
        <v>12151124.904300001</v>
      </c>
      <c r="P47" s="175">
        <v>8976779.8829999994</v>
      </c>
      <c r="Q47" s="176">
        <f t="shared" si="54"/>
        <v>9387934.9321333338</v>
      </c>
      <c r="R47" s="177">
        <f t="shared" si="55"/>
        <v>2582279.5719943447</v>
      </c>
      <c r="S47" s="177">
        <f t="shared" si="56"/>
        <v>2922070.7250651224</v>
      </c>
      <c r="T47" s="135">
        <f t="shared" si="12"/>
        <v>4223375.7881446443</v>
      </c>
      <c r="U47" s="135">
        <f t="shared" si="13"/>
        <v>14552494.076122023</v>
      </c>
      <c r="V47" s="136" t="str">
        <f t="shared" si="14"/>
        <v/>
      </c>
      <c r="W47" s="136" t="str">
        <f t="shared" si="15"/>
        <v/>
      </c>
      <c r="X47" s="138" t="str">
        <f t="shared" si="16"/>
        <v/>
      </c>
      <c r="Y47" s="111"/>
      <c r="Z47" s="106">
        <f t="shared" si="50"/>
        <v>0.41907068765995825</v>
      </c>
      <c r="AA47" s="107" t="str">
        <f t="shared" si="57"/>
        <v>NO</v>
      </c>
      <c r="AB47" s="7"/>
    </row>
    <row r="48" spans="1:28" x14ac:dyDescent="0.35">
      <c r="A48" s="28" t="s">
        <v>5</v>
      </c>
      <c r="B48" s="173">
        <f>6437803.668+1364.7075</f>
        <v>6439168.3754999992</v>
      </c>
      <c r="C48" s="174">
        <f>4714142.6869</f>
        <v>4714142.6869000001</v>
      </c>
      <c r="D48" s="175">
        <v>4784682.1118999999</v>
      </c>
      <c r="E48" s="176">
        <f t="shared" si="51"/>
        <v>5312664.391433333</v>
      </c>
      <c r="F48" s="177">
        <f t="shared" si="52"/>
        <v>976218.40394882462</v>
      </c>
      <c r="G48" s="177">
        <f t="shared" si="53"/>
        <v>1104674.8192510991</v>
      </c>
      <c r="H48" s="135">
        <f t="shared" si="4"/>
        <v>3360227.5835356838</v>
      </c>
      <c r="I48" s="136">
        <f t="shared" si="5"/>
        <v>7265101.1993309818</v>
      </c>
      <c r="J48" s="136" t="str">
        <f t="shared" si="6"/>
        <v/>
      </c>
      <c r="K48" s="136" t="str">
        <f t="shared" si="7"/>
        <v/>
      </c>
      <c r="L48" s="136" t="str">
        <f t="shared" si="8"/>
        <v/>
      </c>
      <c r="M48" s="170"/>
      <c r="N48" s="173">
        <v>6453187.6431</v>
      </c>
      <c r="O48" s="174">
        <v>4692449.1551999999</v>
      </c>
      <c r="P48" s="175">
        <v>4571681.4057999998</v>
      </c>
      <c r="Q48" s="176">
        <f t="shared" si="54"/>
        <v>5239106.0680333329</v>
      </c>
      <c r="R48" s="177">
        <f t="shared" si="55"/>
        <v>1053157.9964616206</v>
      </c>
      <c r="S48" s="177">
        <f t="shared" si="56"/>
        <v>1191738.5645242129</v>
      </c>
      <c r="T48" s="135">
        <f t="shared" si="12"/>
        <v>3132790.0751100918</v>
      </c>
      <c r="U48" s="135">
        <f t="shared" si="13"/>
        <v>7345422.060956574</v>
      </c>
      <c r="V48" s="136" t="str">
        <f t="shared" si="14"/>
        <v/>
      </c>
      <c r="W48" s="136" t="str">
        <f t="shared" si="15"/>
        <v/>
      </c>
      <c r="X48" s="138" t="str">
        <f t="shared" si="16"/>
        <v/>
      </c>
      <c r="Y48" s="111"/>
      <c r="Z48" s="106">
        <f t="shared" si="50"/>
        <v>0.40619816403061526</v>
      </c>
      <c r="AA48" s="107" t="str">
        <f t="shared" si="57"/>
        <v>NO</v>
      </c>
      <c r="AB48" s="7"/>
    </row>
    <row r="49" spans="1:28" x14ac:dyDescent="0.35">
      <c r="A49" s="28" t="s">
        <v>6</v>
      </c>
      <c r="B49" s="173">
        <f>7728409.2943</f>
        <v>7728409.2943000002</v>
      </c>
      <c r="C49" s="174">
        <v>11175997.1086</v>
      </c>
      <c r="D49" s="175">
        <v>7228217.4215000002</v>
      </c>
      <c r="E49" s="176">
        <f t="shared" si="51"/>
        <v>8710874.6081333328</v>
      </c>
      <c r="F49" s="177">
        <f t="shared" si="52"/>
        <v>2149457.9977599187</v>
      </c>
      <c r="G49" s="177">
        <f t="shared" si="53"/>
        <v>2432296.0062610554</v>
      </c>
      <c r="H49" s="135">
        <f t="shared" si="4"/>
        <v>4411958.6126134954</v>
      </c>
      <c r="I49" s="136">
        <f t="shared" si="5"/>
        <v>13009790.60365317</v>
      </c>
      <c r="J49" s="136" t="str">
        <f t="shared" si="6"/>
        <v/>
      </c>
      <c r="K49" s="136" t="str">
        <f t="shared" si="7"/>
        <v/>
      </c>
      <c r="L49" s="136" t="str">
        <f t="shared" si="8"/>
        <v/>
      </c>
      <c r="M49" s="170"/>
      <c r="N49" s="173">
        <v>7204857.8832</v>
      </c>
      <c r="O49" s="174">
        <v>11020863.5439</v>
      </c>
      <c r="P49" s="175">
        <v>10576000.5287</v>
      </c>
      <c r="Q49" s="176">
        <f t="shared" si="54"/>
        <v>9600573.985266665</v>
      </c>
      <c r="R49" s="177">
        <f t="shared" si="55"/>
        <v>2086640.2437529473</v>
      </c>
      <c r="S49" s="177">
        <f t="shared" si="56"/>
        <v>2361212.3319800603</v>
      </c>
      <c r="T49" s="135">
        <f t="shared" si="12"/>
        <v>5427293.4977607708</v>
      </c>
      <c r="U49" s="135">
        <f t="shared" si="13"/>
        <v>13773854.472772559</v>
      </c>
      <c r="V49" s="136" t="str">
        <f t="shared" si="14"/>
        <v/>
      </c>
      <c r="W49" s="136" t="str">
        <f t="shared" si="15"/>
        <v/>
      </c>
      <c r="X49" s="138" t="str">
        <f t="shared" si="16"/>
        <v/>
      </c>
      <c r="Y49" s="111"/>
      <c r="Z49" s="106">
        <f t="shared" si="50"/>
        <v>0.54569758425020787</v>
      </c>
      <c r="AA49" s="107" t="str">
        <f t="shared" si="57"/>
        <v>NO</v>
      </c>
      <c r="AB49" s="7" t="s">
        <v>59</v>
      </c>
    </row>
    <row r="50" spans="1:28" x14ac:dyDescent="0.35">
      <c r="A50" s="28" t="s">
        <v>42</v>
      </c>
      <c r="B50" s="178">
        <v>1047187.237</v>
      </c>
      <c r="C50" s="177">
        <v>621366.30039999995</v>
      </c>
      <c r="D50" s="179">
        <v>588140.80599999998</v>
      </c>
      <c r="E50" s="176">
        <f t="shared" si="51"/>
        <v>752231.44779999985</v>
      </c>
      <c r="F50" s="177">
        <f t="shared" si="52"/>
        <v>255978.84982255354</v>
      </c>
      <c r="G50" s="177">
        <f t="shared" si="53"/>
        <v>289662.01468442834</v>
      </c>
      <c r="H50" s="135">
        <f t="shared" si="4"/>
        <v>240273.74815489276</v>
      </c>
      <c r="I50" s="136">
        <f t="shared" si="5"/>
        <v>1264189.1474451069</v>
      </c>
      <c r="J50" s="136" t="str">
        <f t="shared" si="6"/>
        <v/>
      </c>
      <c r="K50" s="136" t="str">
        <f t="shared" si="7"/>
        <v/>
      </c>
      <c r="L50" s="136" t="str">
        <f t="shared" si="8"/>
        <v/>
      </c>
      <c r="M50" s="170"/>
      <c r="N50" s="178">
        <v>719823</v>
      </c>
      <c r="O50" s="177">
        <v>409397</v>
      </c>
      <c r="P50" s="179">
        <v>414335</v>
      </c>
      <c r="Q50" s="176">
        <f t="shared" si="54"/>
        <v>514518.33333333331</v>
      </c>
      <c r="R50" s="177">
        <f t="shared" si="55"/>
        <v>177816.19886088363</v>
      </c>
      <c r="S50" s="177">
        <f t="shared" si="56"/>
        <v>201214.2739186275</v>
      </c>
      <c r="T50" s="135">
        <f t="shared" si="12"/>
        <v>158885.93561156606</v>
      </c>
      <c r="U50" s="135">
        <f t="shared" si="13"/>
        <v>870150.73105510056</v>
      </c>
      <c r="V50" s="136" t="str">
        <f t="shared" si="14"/>
        <v/>
      </c>
      <c r="W50" s="136" t="str">
        <f t="shared" si="15"/>
        <v/>
      </c>
      <c r="X50" s="138" t="str">
        <f t="shared" si="16"/>
        <v/>
      </c>
      <c r="Y50" s="111"/>
      <c r="Z50" s="106">
        <f t="shared" si="50"/>
        <v>3.5699588882797992E-2</v>
      </c>
      <c r="AA50" s="107" t="str">
        <f t="shared" si="57"/>
        <v>YES</v>
      </c>
      <c r="AB50" s="7"/>
    </row>
    <row r="51" spans="1:28" x14ac:dyDescent="0.35">
      <c r="A51" s="37" t="s">
        <v>8</v>
      </c>
      <c r="B51" s="180">
        <v>915339.33</v>
      </c>
      <c r="C51" s="181">
        <v>906886.01300000004</v>
      </c>
      <c r="D51" s="182">
        <v>933525.21900000004</v>
      </c>
      <c r="E51" s="183">
        <f t="shared" si="51"/>
        <v>918583.52066666668</v>
      </c>
      <c r="F51" s="181">
        <f t="shared" si="52"/>
        <v>13612.692749374557</v>
      </c>
      <c r="G51" s="181">
        <f t="shared" si="53"/>
        <v>15403.928917554385</v>
      </c>
      <c r="H51" s="171">
        <f t="shared" si="4"/>
        <v>891358.13516791759</v>
      </c>
      <c r="I51" s="142">
        <f t="shared" si="5"/>
        <v>945808.90616541577</v>
      </c>
      <c r="J51" s="142" t="str">
        <f t="shared" si="6"/>
        <v/>
      </c>
      <c r="K51" s="142" t="str">
        <f t="shared" si="7"/>
        <v/>
      </c>
      <c r="L51" s="142" t="str">
        <f t="shared" si="8"/>
        <v/>
      </c>
      <c r="M51" s="184"/>
      <c r="N51" s="180">
        <v>1030226.849</v>
      </c>
      <c r="O51" s="181">
        <v>943933.47</v>
      </c>
      <c r="P51" s="182">
        <v>1071032.6740000001</v>
      </c>
      <c r="Q51" s="183">
        <f t="shared" si="54"/>
        <v>1015064.3310000001</v>
      </c>
      <c r="R51" s="181">
        <f t="shared" si="55"/>
        <v>64892.051735429479</v>
      </c>
      <c r="S51" s="181">
        <f t="shared" si="56"/>
        <v>73430.919998744866</v>
      </c>
      <c r="T51" s="171">
        <f t="shared" si="12"/>
        <v>885280.22752914112</v>
      </c>
      <c r="U51" s="171">
        <f t="shared" si="13"/>
        <v>1144848.4344708591</v>
      </c>
      <c r="V51" s="142" t="str">
        <f t="shared" si="14"/>
        <v/>
      </c>
      <c r="W51" s="142" t="str">
        <f t="shared" si="15"/>
        <v/>
      </c>
      <c r="X51" s="144" t="str">
        <f t="shared" si="16"/>
        <v/>
      </c>
      <c r="Y51" s="111"/>
      <c r="Z51" s="106">
        <f t="shared" si="50"/>
        <v>8.6709103478718963E-2</v>
      </c>
      <c r="AA51" s="107" t="str">
        <f t="shared" si="57"/>
        <v>NO</v>
      </c>
      <c r="AB51" s="7"/>
    </row>
    <row r="52" spans="1:28" ht="15" thickBot="1" x14ac:dyDescent="0.4">
      <c r="A52" s="29" t="s">
        <v>43</v>
      </c>
      <c r="B52" s="185">
        <v>1584868.4591000001</v>
      </c>
      <c r="C52" s="186">
        <v>3288679.1497</v>
      </c>
      <c r="D52" s="187">
        <v>2508420.9465000001</v>
      </c>
      <c r="E52" s="188">
        <f t="shared" si="51"/>
        <v>2460656.1850999999</v>
      </c>
      <c r="F52" s="189">
        <f t="shared" si="52"/>
        <v>852909.03481814172</v>
      </c>
      <c r="G52" s="189">
        <f t="shared" si="53"/>
        <v>965139.69626488583</v>
      </c>
      <c r="H52" s="146">
        <f t="shared" si="4"/>
        <v>754838.11546371644</v>
      </c>
      <c r="I52" s="149">
        <f t="shared" si="5"/>
        <v>4166474.2547362833</v>
      </c>
      <c r="J52" s="149" t="str">
        <f t="shared" si="6"/>
        <v/>
      </c>
      <c r="K52" s="149" t="str">
        <f t="shared" si="7"/>
        <v/>
      </c>
      <c r="L52" s="149" t="str">
        <f t="shared" si="8"/>
        <v/>
      </c>
      <c r="M52" s="190"/>
      <c r="N52" s="185">
        <v>2655508.0542000001</v>
      </c>
      <c r="O52" s="186">
        <v>3518038.6219000001</v>
      </c>
      <c r="P52" s="187">
        <v>2596187.5879000002</v>
      </c>
      <c r="Q52" s="188">
        <f t="shared" si="54"/>
        <v>2923244.754666667</v>
      </c>
      <c r="R52" s="189">
        <f t="shared" si="55"/>
        <v>515959.82188955636</v>
      </c>
      <c r="S52" s="189">
        <f t="shared" si="56"/>
        <v>583852.77380670432</v>
      </c>
      <c r="T52" s="146">
        <f t="shared" si="12"/>
        <v>1891325.1108875542</v>
      </c>
      <c r="U52" s="146">
        <f t="shared" si="13"/>
        <v>3955164.3984457795</v>
      </c>
      <c r="V52" s="149" t="str">
        <f t="shared" si="14"/>
        <v/>
      </c>
      <c r="W52" s="149" t="str">
        <f t="shared" si="15"/>
        <v/>
      </c>
      <c r="X52" s="147" t="str">
        <f t="shared" si="16"/>
        <v/>
      </c>
      <c r="Y52" s="111"/>
      <c r="Z52" s="106">
        <f t="shared" si="50"/>
        <v>0.27057970518104779</v>
      </c>
      <c r="AA52" s="107" t="str">
        <f t="shared" si="57"/>
        <v>NO</v>
      </c>
      <c r="AB52" s="7"/>
    </row>
    <row r="53" spans="1:28" x14ac:dyDescent="0.35">
      <c r="A53" s="30" t="s">
        <v>47</v>
      </c>
      <c r="B53" s="163" t="s">
        <v>121</v>
      </c>
      <c r="C53" s="164"/>
      <c r="D53" s="165"/>
      <c r="E53" s="191"/>
      <c r="F53" s="122"/>
      <c r="G53" s="122"/>
      <c r="H53" s="154"/>
      <c r="I53" s="155"/>
      <c r="J53" s="155"/>
      <c r="K53" s="155"/>
      <c r="L53" s="155"/>
      <c r="M53" s="166"/>
      <c r="N53" s="163" t="s">
        <v>126</v>
      </c>
      <c r="O53" s="164"/>
      <c r="P53" s="165"/>
      <c r="Q53" s="191"/>
      <c r="R53" s="122"/>
      <c r="S53" s="122"/>
      <c r="T53" s="154"/>
      <c r="U53" s="154"/>
      <c r="V53" s="155"/>
      <c r="W53" s="155" t="str">
        <f t="shared" si="15"/>
        <v/>
      </c>
      <c r="X53" s="157" t="str">
        <f t="shared" si="16"/>
        <v/>
      </c>
      <c r="Y53" s="111"/>
      <c r="Z53" s="106"/>
      <c r="AA53" s="107"/>
      <c r="AB53" s="7"/>
    </row>
    <row r="54" spans="1:28" ht="17" thickBot="1" x14ac:dyDescent="0.4">
      <c r="A54" s="31" t="s">
        <v>48</v>
      </c>
      <c r="B54" s="167" t="s">
        <v>149</v>
      </c>
      <c r="C54" s="168"/>
      <c r="D54" s="169"/>
      <c r="E54" s="161"/>
      <c r="F54" s="107"/>
      <c r="G54" s="107"/>
      <c r="H54" s="135"/>
      <c r="I54" s="136"/>
      <c r="J54" s="136"/>
      <c r="K54" s="136"/>
      <c r="L54" s="136"/>
      <c r="M54" s="170"/>
      <c r="N54" s="167" t="s">
        <v>148</v>
      </c>
      <c r="O54" s="168"/>
      <c r="P54" s="169"/>
      <c r="Q54" s="161"/>
      <c r="R54" s="107"/>
      <c r="S54" s="107"/>
      <c r="T54" s="135"/>
      <c r="U54" s="135"/>
      <c r="V54" s="136"/>
      <c r="W54" s="136" t="str">
        <f t="shared" si="15"/>
        <v/>
      </c>
      <c r="X54" s="138" t="str">
        <f t="shared" si="16"/>
        <v/>
      </c>
      <c r="Y54" s="111"/>
      <c r="Z54" s="106"/>
      <c r="AA54" s="107"/>
      <c r="AB54" s="7"/>
    </row>
    <row r="55" spans="1:28" ht="15" thickBot="1" x14ac:dyDescent="0.4">
      <c r="A55" s="28" t="s">
        <v>49</v>
      </c>
      <c r="B55" s="115">
        <v>1</v>
      </c>
      <c r="C55" s="116">
        <v>2</v>
      </c>
      <c r="D55" s="114">
        <v>3</v>
      </c>
      <c r="E55" s="161" t="s">
        <v>30</v>
      </c>
      <c r="F55" s="107" t="s">
        <v>31</v>
      </c>
      <c r="G55" s="107" t="s">
        <v>51</v>
      </c>
      <c r="H55" s="107" t="s">
        <v>52</v>
      </c>
      <c r="I55" s="107" t="s">
        <v>53</v>
      </c>
      <c r="J55" s="107" t="s">
        <v>54</v>
      </c>
      <c r="K55" s="107" t="s">
        <v>55</v>
      </c>
      <c r="L55" s="107" t="s">
        <v>56</v>
      </c>
      <c r="M55" s="162" t="s">
        <v>57</v>
      </c>
      <c r="N55" s="115">
        <v>1</v>
      </c>
      <c r="O55" s="116">
        <v>2</v>
      </c>
      <c r="P55" s="114">
        <v>3</v>
      </c>
      <c r="Q55" s="161" t="s">
        <v>30</v>
      </c>
      <c r="R55" s="107" t="s">
        <v>31</v>
      </c>
      <c r="S55" s="107" t="s">
        <v>51</v>
      </c>
      <c r="T55" s="107" t="s">
        <v>52</v>
      </c>
      <c r="U55" s="107" t="s">
        <v>53</v>
      </c>
      <c r="V55" s="107" t="s">
        <v>54</v>
      </c>
      <c r="W55" s="107" t="s">
        <v>55</v>
      </c>
      <c r="X55" s="107" t="s">
        <v>56</v>
      </c>
      <c r="Y55" s="111"/>
      <c r="Z55" s="106"/>
      <c r="AA55" s="107"/>
      <c r="AB55" s="7"/>
    </row>
    <row r="56" spans="1:28" x14ac:dyDescent="0.35">
      <c r="A56" s="28" t="s">
        <v>2</v>
      </c>
      <c r="B56" s="178">
        <v>1746577.4325000001</v>
      </c>
      <c r="C56" s="177">
        <v>421047.5675</v>
      </c>
      <c r="D56" s="179">
        <v>1147594.9176</v>
      </c>
      <c r="E56" s="176">
        <f>AVERAGE(B56:D56)</f>
        <v>1105073.3058666668</v>
      </c>
      <c r="F56" s="177">
        <f>_xlfn.STDEV.S(B56:D56)</f>
        <v>663787.18076656922</v>
      </c>
      <c r="G56" s="177">
        <f>_xlfn.CONFIDENCE.NORM(0.05, F56, 3)</f>
        <v>751132.10421809054</v>
      </c>
      <c r="H56" s="135">
        <f t="shared" si="4"/>
        <v>-222501.0556664716</v>
      </c>
      <c r="I56" s="136">
        <f t="shared" si="5"/>
        <v>2432647.667399805</v>
      </c>
      <c r="J56" s="136" t="str">
        <f t="shared" si="6"/>
        <v/>
      </c>
      <c r="K56" s="136" t="str">
        <f t="shared" si="7"/>
        <v/>
      </c>
      <c r="L56" s="136" t="str">
        <f t="shared" si="8"/>
        <v/>
      </c>
      <c r="M56" s="170"/>
      <c r="N56" s="178">
        <v>1540666.1158</v>
      </c>
      <c r="O56" s="177"/>
      <c r="P56" s="179">
        <v>1122321.2442000001</v>
      </c>
      <c r="Q56" s="176">
        <f>AVERAGE(N56:P56)</f>
        <v>1331493.6800000002</v>
      </c>
      <c r="R56" s="177">
        <f>_xlfn.STDEV.S(N56:P56)</f>
        <v>295814.49558297469</v>
      </c>
      <c r="S56" s="177">
        <f>_xlfn.CONFIDENCE.NORM(0.05, R56, 3)</f>
        <v>334739.4631346328</v>
      </c>
      <c r="T56" s="135">
        <f t="shared" si="12"/>
        <v>739864.68883405079</v>
      </c>
      <c r="U56" s="135">
        <f t="shared" si="13"/>
        <v>1923122.6711659497</v>
      </c>
      <c r="V56" s="136" t="str">
        <f t="shared" si="14"/>
        <v/>
      </c>
      <c r="W56" s="136"/>
      <c r="X56" s="138" t="str">
        <f t="shared" si="16"/>
        <v/>
      </c>
      <c r="Y56" s="111"/>
      <c r="Z56" s="106">
        <f t="shared" ref="Z56:Z65" si="58">_xlfn.T.TEST(B56:D56,N56:P56,2,1)</f>
        <v>0.42224980880333951</v>
      </c>
      <c r="AA56" s="107" t="str">
        <f>IF(Z56&lt;0.05,"YES","NO")</f>
        <v>NO</v>
      </c>
      <c r="AB56" s="7"/>
    </row>
    <row r="57" spans="1:28" x14ac:dyDescent="0.35">
      <c r="A57" s="28" t="s">
        <v>1</v>
      </c>
      <c r="B57" s="178">
        <v>1409813.71</v>
      </c>
      <c r="C57" s="177">
        <v>1275642.2017000001</v>
      </c>
      <c r="D57" s="179">
        <v>1361056.4339999999</v>
      </c>
      <c r="E57" s="176">
        <f t="shared" ref="E57:E65" si="59">AVERAGE(B57:D57)</f>
        <v>1348837.4485666666</v>
      </c>
      <c r="F57" s="177">
        <f t="shared" ref="F57:F65" si="60">_xlfn.STDEV.S(B57:D57)</f>
        <v>67915.212681984878</v>
      </c>
      <c r="G57" s="177">
        <f t="shared" ref="G57:G65" si="61">_xlfn.CONFIDENCE.NORM(0.05, F57, 3)</f>
        <v>76851.885797683164</v>
      </c>
      <c r="H57" s="135">
        <f t="shared" si="4"/>
        <v>1213007.0232026968</v>
      </c>
      <c r="I57" s="136">
        <f t="shared" si="5"/>
        <v>1484667.8739306363</v>
      </c>
      <c r="J57" s="136" t="str">
        <f t="shared" si="6"/>
        <v/>
      </c>
      <c r="K57" s="136" t="str">
        <f t="shared" si="7"/>
        <v/>
      </c>
      <c r="L57" s="136" t="str">
        <f t="shared" si="8"/>
        <v/>
      </c>
      <c r="M57" s="170" t="s">
        <v>59</v>
      </c>
      <c r="N57" s="178">
        <v>1273165.7283000001</v>
      </c>
      <c r="O57" s="177">
        <v>1279971.5422</v>
      </c>
      <c r="P57" s="179">
        <v>1226942.9091</v>
      </c>
      <c r="Q57" s="176">
        <f t="shared" ref="Q57:Q65" si="62">AVERAGE(N57:P57)</f>
        <v>1260026.7265333335</v>
      </c>
      <c r="R57" s="177">
        <f t="shared" ref="R57:R65" si="63">_xlfn.STDEV.S(N57:P57)</f>
        <v>28852.798957500745</v>
      </c>
      <c r="S57" s="177">
        <f t="shared" ref="S57:S65" si="64">_xlfn.CONFIDENCE.NORM(0.05, R57, 3)</f>
        <v>32649.415688475678</v>
      </c>
      <c r="T57" s="135">
        <f t="shared" si="12"/>
        <v>1202321.1286183321</v>
      </c>
      <c r="U57" s="135">
        <f t="shared" si="13"/>
        <v>1317732.324448335</v>
      </c>
      <c r="V57" s="136" t="str">
        <f t="shared" si="14"/>
        <v/>
      </c>
      <c r="W57" s="136" t="str">
        <f t="shared" si="15"/>
        <v/>
      </c>
      <c r="X57" s="138" t="str">
        <f t="shared" si="16"/>
        <v/>
      </c>
      <c r="Y57" s="111"/>
      <c r="Z57" s="106">
        <f t="shared" si="58"/>
        <v>0.19679929047571953</v>
      </c>
      <c r="AA57" s="107" t="str">
        <f t="shared" ref="AA57:AA65" si="65">IF(Z57&lt;0.05,"YES","NO")</f>
        <v>NO</v>
      </c>
      <c r="AB57" s="7"/>
    </row>
    <row r="58" spans="1:28" x14ac:dyDescent="0.35">
      <c r="A58" s="28" t="s">
        <v>3</v>
      </c>
      <c r="B58" s="178">
        <v>2623783.0364000001</v>
      </c>
      <c r="C58" s="177">
        <v>2611039.8588</v>
      </c>
      <c r="D58" s="179">
        <v>1687770.9469999999</v>
      </c>
      <c r="E58" s="176">
        <f t="shared" si="59"/>
        <v>2307531.2807333334</v>
      </c>
      <c r="F58" s="177">
        <f t="shared" si="60"/>
        <v>536766.01102880517</v>
      </c>
      <c r="G58" s="177">
        <f t="shared" si="61"/>
        <v>607396.76061716885</v>
      </c>
      <c r="H58" s="135">
        <f t="shared" si="4"/>
        <v>1233999.2586757231</v>
      </c>
      <c r="I58" s="136">
        <f t="shared" si="5"/>
        <v>3381063.3027909435</v>
      </c>
      <c r="J58" s="136" t="str">
        <f t="shared" si="6"/>
        <v/>
      </c>
      <c r="K58" s="136" t="str">
        <f t="shared" si="7"/>
        <v/>
      </c>
      <c r="L58" s="136" t="str">
        <f t="shared" si="8"/>
        <v/>
      </c>
      <c r="M58" s="170"/>
      <c r="N58" s="178">
        <v>2393838.6894999999</v>
      </c>
      <c r="O58" s="177">
        <v>1920905.5190999999</v>
      </c>
      <c r="P58" s="179">
        <v>1191230.1096999999</v>
      </c>
      <c r="Q58" s="176">
        <f t="shared" si="62"/>
        <v>1835324.7727666665</v>
      </c>
      <c r="R58" s="177">
        <f t="shared" si="63"/>
        <v>605854.68320330011</v>
      </c>
      <c r="S58" s="177">
        <f t="shared" si="64"/>
        <v>685576.51643609279</v>
      </c>
      <c r="T58" s="135">
        <f t="shared" si="12"/>
        <v>623615.40636006626</v>
      </c>
      <c r="U58" s="135">
        <f t="shared" si="13"/>
        <v>3047034.1391732665</v>
      </c>
      <c r="V58" s="136" t="str">
        <f t="shared" si="14"/>
        <v/>
      </c>
      <c r="W58" s="136" t="str">
        <f t="shared" si="15"/>
        <v/>
      </c>
      <c r="X58" s="138" t="str">
        <f t="shared" si="16"/>
        <v/>
      </c>
      <c r="Y58" s="111"/>
      <c r="Z58" s="106">
        <f t="shared" si="58"/>
        <v>7.1371155830925903E-2</v>
      </c>
      <c r="AA58" s="107" t="str">
        <f t="shared" si="65"/>
        <v>NO</v>
      </c>
      <c r="AB58" s="7"/>
    </row>
    <row r="59" spans="1:28" x14ac:dyDescent="0.35">
      <c r="A59" s="28" t="s">
        <v>0</v>
      </c>
      <c r="B59" s="178">
        <v>2297635.6746</v>
      </c>
      <c r="C59" s="177">
        <v>844344.97250000003</v>
      </c>
      <c r="D59" s="179">
        <v>1276406.6159999999</v>
      </c>
      <c r="E59" s="176">
        <f t="shared" si="59"/>
        <v>1472795.7543666668</v>
      </c>
      <c r="F59" s="177">
        <f t="shared" si="60"/>
        <v>746284.1191221202</v>
      </c>
      <c r="G59" s="177">
        <f t="shared" si="61"/>
        <v>844484.46276619344</v>
      </c>
      <c r="H59" s="135">
        <f t="shared" si="4"/>
        <v>-19772.483877573628</v>
      </c>
      <c r="I59" s="136">
        <f t="shared" si="5"/>
        <v>2965363.9926109072</v>
      </c>
      <c r="J59" s="136" t="str">
        <f t="shared" si="6"/>
        <v/>
      </c>
      <c r="K59" s="136" t="str">
        <f t="shared" si="7"/>
        <v/>
      </c>
      <c r="L59" s="136" t="str">
        <f t="shared" si="8"/>
        <v/>
      </c>
      <c r="M59" s="170"/>
      <c r="N59" s="178">
        <v>2103191.4454000001</v>
      </c>
      <c r="O59" s="177">
        <v>952743.04850000003</v>
      </c>
      <c r="P59" s="179">
        <v>1050845.3330000001</v>
      </c>
      <c r="Q59" s="176">
        <f t="shared" si="62"/>
        <v>1368926.6089666667</v>
      </c>
      <c r="R59" s="177">
        <f t="shared" si="63"/>
        <v>637781.03771818255</v>
      </c>
      <c r="S59" s="177">
        <f t="shared" si="64"/>
        <v>721703.92374619201</v>
      </c>
      <c r="T59" s="135">
        <f t="shared" si="12"/>
        <v>93364.533530301647</v>
      </c>
      <c r="U59" s="135">
        <f t="shared" si="13"/>
        <v>2644488.6844030321</v>
      </c>
      <c r="V59" s="136" t="str">
        <f t="shared" si="14"/>
        <v/>
      </c>
      <c r="W59" s="136" t="str">
        <f t="shared" si="15"/>
        <v/>
      </c>
      <c r="X59" s="138" t="str">
        <f t="shared" si="16"/>
        <v/>
      </c>
      <c r="Y59" s="111"/>
      <c r="Z59" s="106">
        <f t="shared" si="58"/>
        <v>0.43232313097634856</v>
      </c>
      <c r="AA59" s="107" t="str">
        <f t="shared" si="65"/>
        <v>NO</v>
      </c>
      <c r="AB59" s="7"/>
    </row>
    <row r="60" spans="1:28" x14ac:dyDescent="0.35">
      <c r="A60" s="28" t="s">
        <v>4</v>
      </c>
      <c r="B60" s="178">
        <v>1125262.3864</v>
      </c>
      <c r="C60" s="177">
        <v>705378.32010000001</v>
      </c>
      <c r="D60" s="179">
        <v>1872839.4586</v>
      </c>
      <c r="E60" s="176">
        <f t="shared" si="59"/>
        <v>1234493.3883666666</v>
      </c>
      <c r="F60" s="177">
        <f t="shared" si="60"/>
        <v>591345.86860813585</v>
      </c>
      <c r="G60" s="177">
        <f t="shared" si="61"/>
        <v>669158.54882184858</v>
      </c>
      <c r="H60" s="135">
        <f t="shared" si="4"/>
        <v>51801.65115039493</v>
      </c>
      <c r="I60" s="136">
        <f t="shared" si="5"/>
        <v>2417185.1255829381</v>
      </c>
      <c r="J60" s="136" t="str">
        <f t="shared" si="6"/>
        <v/>
      </c>
      <c r="K60" s="136" t="str">
        <f t="shared" si="7"/>
        <v/>
      </c>
      <c r="L60" s="136" t="str">
        <f t="shared" si="8"/>
        <v/>
      </c>
      <c r="M60" s="170"/>
      <c r="N60" s="178">
        <v>1148622.8791</v>
      </c>
      <c r="O60" s="177">
        <v>615032.75459999999</v>
      </c>
      <c r="P60" s="179">
        <v>1724121.7914</v>
      </c>
      <c r="Q60" s="176">
        <f t="shared" si="62"/>
        <v>1162592.4750333333</v>
      </c>
      <c r="R60" s="177">
        <f t="shared" si="63"/>
        <v>554676.46884953824</v>
      </c>
      <c r="S60" s="177">
        <f t="shared" si="64"/>
        <v>627663.97917788348</v>
      </c>
      <c r="T60" s="135">
        <f t="shared" si="12"/>
        <v>53239.537334256805</v>
      </c>
      <c r="U60" s="135">
        <f t="shared" si="13"/>
        <v>2271945.4127324098</v>
      </c>
      <c r="V60" s="136" t="str">
        <f t="shared" si="14"/>
        <v/>
      </c>
      <c r="W60" s="136" t="str">
        <f t="shared" si="15"/>
        <v/>
      </c>
      <c r="X60" s="138" t="str">
        <f t="shared" si="16"/>
        <v/>
      </c>
      <c r="Y60" s="111"/>
      <c r="Z60" s="106">
        <f t="shared" si="58"/>
        <v>0.29067764992700085</v>
      </c>
      <c r="AA60" s="107" t="str">
        <f t="shared" si="65"/>
        <v>NO</v>
      </c>
      <c r="AB60" s="7"/>
    </row>
    <row r="61" spans="1:28" x14ac:dyDescent="0.35">
      <c r="A61" s="28" t="s">
        <v>5</v>
      </c>
      <c r="B61" s="178">
        <v>1791984.9719</v>
      </c>
      <c r="C61" s="177">
        <v>636055.35219999996</v>
      </c>
      <c r="D61" s="179">
        <v>2366526.8166</v>
      </c>
      <c r="E61" s="176">
        <f t="shared" si="59"/>
        <v>1598189.0468999997</v>
      </c>
      <c r="F61" s="177">
        <f t="shared" si="60"/>
        <v>881362.87514600111</v>
      </c>
      <c r="G61" s="177">
        <f t="shared" si="61"/>
        <v>997337.65605957282</v>
      </c>
      <c r="H61" s="135">
        <f t="shared" si="4"/>
        <v>-164536.7033920025</v>
      </c>
      <c r="I61" s="136">
        <f t="shared" si="5"/>
        <v>3360914.7971920017</v>
      </c>
      <c r="J61" s="136" t="str">
        <f t="shared" si="6"/>
        <v/>
      </c>
      <c r="K61" s="136" t="str">
        <f t="shared" si="7"/>
        <v/>
      </c>
      <c r="L61" s="136" t="str">
        <f t="shared" si="8"/>
        <v/>
      </c>
      <c r="M61" s="170"/>
      <c r="N61" s="178">
        <v>1434803.8078000001</v>
      </c>
      <c r="O61" s="177">
        <v>664984.73060000001</v>
      </c>
      <c r="P61" s="179">
        <v>2123573.4400999998</v>
      </c>
      <c r="Q61" s="176">
        <f t="shared" si="62"/>
        <v>1407787.3261666663</v>
      </c>
      <c r="R61" s="177">
        <f t="shared" si="63"/>
        <v>729669.56465245457</v>
      </c>
      <c r="S61" s="177">
        <f t="shared" si="64"/>
        <v>825683.66995028825</v>
      </c>
      <c r="T61" s="135">
        <f t="shared" si="12"/>
        <v>-51551.803138242802</v>
      </c>
      <c r="U61" s="135">
        <f t="shared" si="13"/>
        <v>2867126.4554715753</v>
      </c>
      <c r="V61" s="136" t="str">
        <f t="shared" si="14"/>
        <v/>
      </c>
      <c r="W61" s="136" t="str">
        <f t="shared" si="15"/>
        <v/>
      </c>
      <c r="X61" s="138" t="str">
        <f t="shared" si="16"/>
        <v/>
      </c>
      <c r="Y61" s="111"/>
      <c r="Z61" s="106">
        <f t="shared" si="58"/>
        <v>0.23827455507537887</v>
      </c>
      <c r="AA61" s="107" t="str">
        <f t="shared" si="65"/>
        <v>NO</v>
      </c>
      <c r="AB61" s="7"/>
    </row>
    <row r="62" spans="1:28" x14ac:dyDescent="0.35">
      <c r="A62" s="28" t="s">
        <v>6</v>
      </c>
      <c r="B62" s="178">
        <v>1061167.3367000001</v>
      </c>
      <c r="C62" s="177">
        <v>1288567.4269000001</v>
      </c>
      <c r="D62" s="179">
        <v>353349.88410000002</v>
      </c>
      <c r="E62" s="176">
        <f t="shared" si="59"/>
        <v>901028.21590000007</v>
      </c>
      <c r="F62" s="177">
        <f t="shared" si="60"/>
        <v>487741.08561629837</v>
      </c>
      <c r="G62" s="177">
        <f t="shared" si="61"/>
        <v>551920.85440622782</v>
      </c>
      <c r="H62" s="135">
        <f t="shared" si="4"/>
        <v>-74453.95533259667</v>
      </c>
      <c r="I62" s="136">
        <f t="shared" si="5"/>
        <v>1876510.3871325967</v>
      </c>
      <c r="J62" s="136" t="str">
        <f t="shared" si="6"/>
        <v/>
      </c>
      <c r="K62" s="136" t="str">
        <f t="shared" si="7"/>
        <v/>
      </c>
      <c r="L62" s="136" t="str">
        <f t="shared" si="8"/>
        <v/>
      </c>
      <c r="M62" s="170"/>
      <c r="N62" s="178">
        <v>982273.51650000003</v>
      </c>
      <c r="O62" s="177">
        <v>1240465.9195000001</v>
      </c>
      <c r="P62" s="179">
        <v>319138.12640000001</v>
      </c>
      <c r="Q62" s="176">
        <f t="shared" si="62"/>
        <v>847292.52080000006</v>
      </c>
      <c r="R62" s="177">
        <f t="shared" si="63"/>
        <v>475264.27120577026</v>
      </c>
      <c r="S62" s="177">
        <f t="shared" si="64"/>
        <v>537802.26921255817</v>
      </c>
      <c r="T62" s="135">
        <f t="shared" si="12"/>
        <v>-103236.02161154046</v>
      </c>
      <c r="U62" s="135">
        <f t="shared" si="13"/>
        <v>1797821.0632115407</v>
      </c>
      <c r="V62" s="136" t="str">
        <f t="shared" si="14"/>
        <v/>
      </c>
      <c r="W62" s="136" t="str">
        <f t="shared" si="15"/>
        <v/>
      </c>
      <c r="X62" s="138" t="str">
        <f t="shared" si="16"/>
        <v/>
      </c>
      <c r="Y62" s="111"/>
      <c r="Z62" s="106">
        <f t="shared" si="58"/>
        <v>5.5397910981476395E-2</v>
      </c>
      <c r="AA62" s="107" t="str">
        <f t="shared" si="65"/>
        <v>NO</v>
      </c>
      <c r="AB62" s="7"/>
    </row>
    <row r="63" spans="1:28" x14ac:dyDescent="0.35">
      <c r="A63" s="28" t="s">
        <v>42</v>
      </c>
      <c r="B63" s="178">
        <v>1016693.8604</v>
      </c>
      <c r="C63" s="177">
        <v>967120.27</v>
      </c>
      <c r="D63" s="179">
        <v>1060622.3600000001</v>
      </c>
      <c r="E63" s="176">
        <f t="shared" si="59"/>
        <v>1014812.1634666668</v>
      </c>
      <c r="F63" s="177">
        <f t="shared" si="60"/>
        <v>46779.437748905402</v>
      </c>
      <c r="G63" s="177">
        <f t="shared" si="61"/>
        <v>52934.944404765687</v>
      </c>
      <c r="H63" s="135">
        <f t="shared" si="4"/>
        <v>921253.28796885605</v>
      </c>
      <c r="I63" s="136">
        <f t="shared" si="5"/>
        <v>1108371.0389644776</v>
      </c>
      <c r="J63" s="136" t="str">
        <f t="shared" si="6"/>
        <v/>
      </c>
      <c r="K63" s="136" t="str">
        <f t="shared" si="7"/>
        <v/>
      </c>
      <c r="L63" s="136" t="str">
        <f t="shared" si="8"/>
        <v/>
      </c>
      <c r="M63" s="170"/>
      <c r="N63" s="178">
        <v>749715</v>
      </c>
      <c r="O63" s="177">
        <v>800654</v>
      </c>
      <c r="P63" s="179">
        <v>715753</v>
      </c>
      <c r="Q63" s="176">
        <f t="shared" si="62"/>
        <v>755374</v>
      </c>
      <c r="R63" s="177">
        <f t="shared" si="63"/>
        <v>42732.460273192788</v>
      </c>
      <c r="S63" s="177">
        <f t="shared" si="64"/>
        <v>48355.442427121699</v>
      </c>
      <c r="T63" s="135">
        <f t="shared" si="12"/>
        <v>669909.07945361442</v>
      </c>
      <c r="U63" s="135">
        <f t="shared" si="13"/>
        <v>840838.92054638558</v>
      </c>
      <c r="V63" s="136" t="str">
        <f t="shared" si="14"/>
        <v/>
      </c>
      <c r="W63" s="136" t="str">
        <f t="shared" si="15"/>
        <v/>
      </c>
      <c r="X63" s="138" t="str">
        <f t="shared" si="16"/>
        <v/>
      </c>
      <c r="Y63" s="111"/>
      <c r="Z63" s="106">
        <f t="shared" si="58"/>
        <v>3.7407773877176087E-2</v>
      </c>
      <c r="AA63" s="107" t="str">
        <f t="shared" si="65"/>
        <v>YES</v>
      </c>
      <c r="AB63" s="7"/>
    </row>
    <row r="64" spans="1:28" x14ac:dyDescent="0.35">
      <c r="A64" s="37" t="s">
        <v>8</v>
      </c>
      <c r="B64" s="180">
        <v>7635899.5630000001</v>
      </c>
      <c r="C64" s="181">
        <v>13441193.685000001</v>
      </c>
      <c r="D64" s="182">
        <v>3404575.716</v>
      </c>
      <c r="E64" s="176">
        <f t="shared" ref="E64" si="66">AVERAGE(B64:D64)</f>
        <v>8160556.3213333338</v>
      </c>
      <c r="F64" s="177">
        <f t="shared" ref="F64" si="67">_xlfn.STDEV.S(B64:D64)</f>
        <v>5038836.5323219271</v>
      </c>
      <c r="G64" s="177">
        <f t="shared" ref="G64" si="68">_xlfn.CONFIDENCE.NORM(0.05, F64, 3)</f>
        <v>5701875.5363173382</v>
      </c>
      <c r="H64" s="135">
        <f t="shared" ref="H64" si="69">E64-2*F64</f>
        <v>-1917116.7433105204</v>
      </c>
      <c r="I64" s="136">
        <f t="shared" ref="I64" si="70">E64+2*F64</f>
        <v>18238229.385977186</v>
      </c>
      <c r="J64" s="142"/>
      <c r="K64" s="142"/>
      <c r="L64" s="142"/>
      <c r="M64" s="184"/>
      <c r="N64" s="180">
        <v>7809337.6100000003</v>
      </c>
      <c r="O64" s="181">
        <v>15530098.713</v>
      </c>
      <c r="P64" s="182">
        <v>1059832.112</v>
      </c>
      <c r="Q64" s="176">
        <f t="shared" ref="Q64" si="71">AVERAGE(N64:P64)</f>
        <v>8133089.4783333326</v>
      </c>
      <c r="R64" s="177">
        <f t="shared" ref="R64" si="72">_xlfn.STDEV.S(N64:P64)</f>
        <v>7240563.8820599476</v>
      </c>
      <c r="S64" s="177">
        <f t="shared" ref="S64" si="73">_xlfn.CONFIDENCE.NORM(0.05, R64, 3)</f>
        <v>8193318.7956062201</v>
      </c>
      <c r="T64" s="135">
        <f t="shared" ref="T64" si="74">Q64-2*R64</f>
        <v>-6348038.2857865626</v>
      </c>
      <c r="U64" s="135">
        <f t="shared" ref="U64" si="75">Q64+2*R64</f>
        <v>22614217.242453229</v>
      </c>
      <c r="V64" s="142"/>
      <c r="W64" s="142"/>
      <c r="X64" s="144"/>
      <c r="Y64" s="111"/>
      <c r="Z64" s="106">
        <f t="shared" si="58"/>
        <v>0.98487345006145866</v>
      </c>
      <c r="AA64" s="107" t="str">
        <f t="shared" si="65"/>
        <v>NO</v>
      </c>
      <c r="AB64" s="7"/>
    </row>
    <row r="65" spans="1:28" ht="15" thickBot="1" x14ac:dyDescent="0.4">
      <c r="A65" s="29" t="s">
        <v>43</v>
      </c>
      <c r="B65" s="192">
        <v>1918512.8502</v>
      </c>
      <c r="C65" s="186">
        <v>696392</v>
      </c>
      <c r="D65" s="187">
        <v>1407988.1921999999</v>
      </c>
      <c r="E65" s="188">
        <f t="shared" si="59"/>
        <v>1340964.3474666667</v>
      </c>
      <c r="F65" s="189">
        <f t="shared" si="60"/>
        <v>613811.03765370697</v>
      </c>
      <c r="G65" s="189">
        <f t="shared" si="61"/>
        <v>694579.81362742651</v>
      </c>
      <c r="H65" s="146">
        <f t="shared" si="4"/>
        <v>113342.27215925278</v>
      </c>
      <c r="I65" s="149">
        <f t="shared" si="5"/>
        <v>2568586.4227740807</v>
      </c>
      <c r="J65" s="149" t="str">
        <f t="shared" si="6"/>
        <v/>
      </c>
      <c r="K65" s="149" t="str">
        <f t="shared" si="7"/>
        <v/>
      </c>
      <c r="L65" s="149" t="str">
        <f t="shared" si="8"/>
        <v/>
      </c>
      <c r="M65" s="190"/>
      <c r="N65" s="185">
        <v>1952683.7072999999</v>
      </c>
      <c r="O65" s="186">
        <v>783352</v>
      </c>
      <c r="P65" s="193">
        <v>1448202.7538999999</v>
      </c>
      <c r="Q65" s="188">
        <f t="shared" si="62"/>
        <v>1394746.1537333333</v>
      </c>
      <c r="R65" s="189">
        <f t="shared" si="63"/>
        <v>586495.83672888705</v>
      </c>
      <c r="S65" s="189">
        <f t="shared" si="64"/>
        <v>663670.32193747605</v>
      </c>
      <c r="T65" s="146">
        <f t="shared" si="12"/>
        <v>221754.48027555924</v>
      </c>
      <c r="U65" s="146">
        <f t="shared" si="13"/>
        <v>2567737.8271911074</v>
      </c>
      <c r="V65" s="149" t="str">
        <f t="shared" si="14"/>
        <v/>
      </c>
      <c r="W65" s="149" t="str">
        <f t="shared" si="15"/>
        <v/>
      </c>
      <c r="X65" s="147" t="str">
        <f t="shared" si="16"/>
        <v/>
      </c>
      <c r="Y65" s="111"/>
      <c r="Z65" s="106">
        <f t="shared" si="58"/>
        <v>8.4220569716626836E-2</v>
      </c>
      <c r="AA65" s="107" t="str">
        <f t="shared" si="65"/>
        <v>NO</v>
      </c>
      <c r="AB65" s="7"/>
    </row>
    <row r="66" spans="1:28" x14ac:dyDescent="0.35">
      <c r="A66" s="30" t="s">
        <v>47</v>
      </c>
      <c r="B66" s="163" t="s">
        <v>118</v>
      </c>
      <c r="C66" s="164"/>
      <c r="D66" s="165"/>
      <c r="E66" s="191"/>
      <c r="F66" s="122"/>
      <c r="G66" s="122"/>
      <c r="H66" s="154"/>
      <c r="I66" s="155"/>
      <c r="J66" s="155"/>
      <c r="K66" s="155"/>
      <c r="L66" s="155"/>
      <c r="M66" s="166"/>
      <c r="N66" s="163" t="s">
        <v>123</v>
      </c>
      <c r="O66" s="164"/>
      <c r="P66" s="165"/>
      <c r="Q66" s="191"/>
      <c r="R66" s="122"/>
      <c r="S66" s="122"/>
      <c r="T66" s="154"/>
      <c r="U66" s="154"/>
      <c r="V66" s="155"/>
      <c r="W66" s="155" t="str">
        <f t="shared" si="15"/>
        <v/>
      </c>
      <c r="X66" s="157" t="str">
        <f t="shared" si="16"/>
        <v/>
      </c>
      <c r="Y66" s="111"/>
      <c r="Z66" s="106"/>
      <c r="AA66" s="107"/>
      <c r="AB66" s="7"/>
    </row>
    <row r="67" spans="1:28" ht="17" thickBot="1" x14ac:dyDescent="0.4">
      <c r="A67" s="31" t="s">
        <v>48</v>
      </c>
      <c r="B67" s="167" t="s">
        <v>149</v>
      </c>
      <c r="C67" s="168"/>
      <c r="D67" s="169"/>
      <c r="E67" s="161"/>
      <c r="F67" s="107"/>
      <c r="G67" s="107"/>
      <c r="H67" s="135"/>
      <c r="I67" s="136"/>
      <c r="J67" s="136"/>
      <c r="K67" s="136"/>
      <c r="L67" s="136"/>
      <c r="M67" s="170"/>
      <c r="N67" s="167" t="s">
        <v>148</v>
      </c>
      <c r="O67" s="168"/>
      <c r="P67" s="169"/>
      <c r="Q67" s="161"/>
      <c r="R67" s="107"/>
      <c r="S67" s="107"/>
      <c r="T67" s="135"/>
      <c r="U67" s="135"/>
      <c r="V67" s="136"/>
      <c r="W67" s="136" t="str">
        <f t="shared" si="15"/>
        <v/>
      </c>
      <c r="X67" s="138" t="str">
        <f t="shared" si="16"/>
        <v/>
      </c>
      <c r="Y67" s="111"/>
      <c r="Z67" s="106"/>
      <c r="AA67" s="107"/>
      <c r="AB67" s="7"/>
    </row>
    <row r="68" spans="1:28" ht="15" thickBot="1" x14ac:dyDescent="0.4">
      <c r="A68" s="28" t="s">
        <v>49</v>
      </c>
      <c r="B68" s="115">
        <v>1</v>
      </c>
      <c r="C68" s="116">
        <v>2</v>
      </c>
      <c r="D68" s="114">
        <v>3</v>
      </c>
      <c r="E68" s="161" t="s">
        <v>30</v>
      </c>
      <c r="F68" s="107" t="s">
        <v>31</v>
      </c>
      <c r="G68" s="107" t="s">
        <v>51</v>
      </c>
      <c r="H68" s="107" t="s">
        <v>52</v>
      </c>
      <c r="I68" s="107" t="s">
        <v>53</v>
      </c>
      <c r="J68" s="107" t="s">
        <v>54</v>
      </c>
      <c r="K68" s="107" t="s">
        <v>55</v>
      </c>
      <c r="L68" s="107" t="s">
        <v>56</v>
      </c>
      <c r="M68" s="162" t="s">
        <v>57</v>
      </c>
      <c r="N68" s="115">
        <v>1</v>
      </c>
      <c r="O68" s="116">
        <v>2</v>
      </c>
      <c r="P68" s="114">
        <v>3</v>
      </c>
      <c r="Q68" s="161" t="s">
        <v>30</v>
      </c>
      <c r="R68" s="107" t="s">
        <v>31</v>
      </c>
      <c r="S68" s="107" t="s">
        <v>51</v>
      </c>
      <c r="T68" s="107" t="s">
        <v>52</v>
      </c>
      <c r="U68" s="107" t="s">
        <v>53</v>
      </c>
      <c r="V68" s="107" t="s">
        <v>54</v>
      </c>
      <c r="W68" s="107" t="s">
        <v>55</v>
      </c>
      <c r="X68" s="107" t="s">
        <v>56</v>
      </c>
      <c r="Y68" s="111"/>
      <c r="Z68" s="106"/>
      <c r="AA68" s="107"/>
      <c r="AB68" s="7"/>
    </row>
    <row r="69" spans="1:28" x14ac:dyDescent="0.35">
      <c r="A69" s="28" t="s">
        <v>2</v>
      </c>
      <c r="B69" s="178">
        <v>3987931.5199000002</v>
      </c>
      <c r="C69" s="177">
        <v>2301662.4130000002</v>
      </c>
      <c r="D69" s="179">
        <v>4141168.3451</v>
      </c>
      <c r="E69" s="176">
        <f>AVERAGE(B69:D69)</f>
        <v>3476920.7593333335</v>
      </c>
      <c r="F69" s="177">
        <f>_xlfn.STDEV.S(B69:D69)</f>
        <v>1020683.3576672859</v>
      </c>
      <c r="G69" s="177">
        <f>_xlfn.CONFIDENCE.NORM(0.05, F69, 3)</f>
        <v>1154990.7265452673</v>
      </c>
      <c r="H69" s="135">
        <f t="shared" si="4"/>
        <v>1435554.0439987616</v>
      </c>
      <c r="I69" s="136">
        <f t="shared" si="5"/>
        <v>5518287.4746679049</v>
      </c>
      <c r="J69" s="136" t="str">
        <f t="shared" si="6"/>
        <v/>
      </c>
      <c r="K69" s="136" t="str">
        <f t="shared" si="7"/>
        <v/>
      </c>
      <c r="L69" s="136" t="str">
        <f t="shared" si="8"/>
        <v/>
      </c>
      <c r="M69" s="170"/>
      <c r="N69" s="178">
        <v>3800215.4929999998</v>
      </c>
      <c r="O69" s="177">
        <v>2251307.2821999998</v>
      </c>
      <c r="P69" s="179">
        <v>3253335.3509999998</v>
      </c>
      <c r="Q69" s="176">
        <f>AVERAGE(N69:P69)</f>
        <v>3101619.3753999998</v>
      </c>
      <c r="R69" s="177">
        <f>_xlfn.STDEV.S(N69:P69)</f>
        <v>785520.50534031726</v>
      </c>
      <c r="S69" s="177">
        <f>_xlfn.CONFIDENCE.NORM(0.05, R69, 3)</f>
        <v>888883.79766740813</v>
      </c>
      <c r="T69" s="135">
        <f t="shared" si="12"/>
        <v>1530578.3647193653</v>
      </c>
      <c r="U69" s="135">
        <f t="shared" si="13"/>
        <v>4672660.3860806338</v>
      </c>
      <c r="V69" s="136" t="str">
        <f t="shared" si="14"/>
        <v/>
      </c>
      <c r="W69" s="136" t="str">
        <f t="shared" si="15"/>
        <v/>
      </c>
      <c r="X69" s="138" t="str">
        <f t="shared" si="16"/>
        <v/>
      </c>
      <c r="Y69" s="111"/>
      <c r="Z69" s="106">
        <f t="shared" ref="Z69:Z78" si="76">_xlfn.T.TEST(B69:D69,N69:P69,2,1)</f>
        <v>0.28477050762263578</v>
      </c>
      <c r="AA69" s="107" t="str">
        <f>IF(Z69&lt;0.05,"YES","NO")</f>
        <v>NO</v>
      </c>
      <c r="AB69" s="7"/>
    </row>
    <row r="70" spans="1:28" x14ac:dyDescent="0.35">
      <c r="A70" s="28" t="s">
        <v>1</v>
      </c>
      <c r="B70" s="178">
        <v>1437179.4373999999</v>
      </c>
      <c r="C70" s="177">
        <v>5097702.9129999997</v>
      </c>
      <c r="D70" s="179">
        <v>1896656.6989</v>
      </c>
      <c r="E70" s="176">
        <f t="shared" ref="E70:E78" si="77">AVERAGE(B70:D70)</f>
        <v>2810513.0164333335</v>
      </c>
      <c r="F70" s="177">
        <f t="shared" ref="F70:F78" si="78">_xlfn.STDEV.S(B70:D70)</f>
        <v>1994043.1428824109</v>
      </c>
      <c r="G70" s="177">
        <f t="shared" ref="G70:G78" si="79">_xlfn.CONFIDENCE.NORM(0.05, F70, 3)</f>
        <v>2256430.7736181491</v>
      </c>
      <c r="H70" s="135">
        <f t="shared" si="4"/>
        <v>-1177573.2693314883</v>
      </c>
      <c r="I70" s="136">
        <f t="shared" si="5"/>
        <v>6798599.3021981549</v>
      </c>
      <c r="J70" s="136" t="str">
        <f t="shared" si="6"/>
        <v/>
      </c>
      <c r="K70" s="136" t="str">
        <f t="shared" si="7"/>
        <v/>
      </c>
      <c r="L70" s="136" t="str">
        <f t="shared" si="8"/>
        <v/>
      </c>
      <c r="M70" s="170"/>
      <c r="N70" s="178">
        <v>1350468.5408000001</v>
      </c>
      <c r="O70" s="177">
        <v>4998855.6847000001</v>
      </c>
      <c r="P70" s="179">
        <v>2903934.8818999999</v>
      </c>
      <c r="Q70" s="176">
        <f t="shared" ref="Q70:Q78" si="80">AVERAGE(N70:P70)</f>
        <v>3084419.7024666667</v>
      </c>
      <c r="R70" s="177">
        <f t="shared" ref="R70:R78" si="81">_xlfn.STDEV.S(N70:P70)</f>
        <v>1830877.7309763029</v>
      </c>
      <c r="S70" s="177">
        <f t="shared" ref="S70:S78" si="82">_xlfn.CONFIDENCE.NORM(0.05, R70, 3)</f>
        <v>2071795.1212105348</v>
      </c>
      <c r="T70" s="135">
        <f t="shared" si="12"/>
        <v>-577335.75948593905</v>
      </c>
      <c r="U70" s="135">
        <f t="shared" si="13"/>
        <v>6746175.1644192729</v>
      </c>
      <c r="V70" s="136" t="str">
        <f t="shared" si="14"/>
        <v/>
      </c>
      <c r="W70" s="136" t="str">
        <f t="shared" si="15"/>
        <v/>
      </c>
      <c r="X70" s="138" t="str">
        <f t="shared" si="16"/>
        <v/>
      </c>
      <c r="Y70" s="111"/>
      <c r="Z70" s="106">
        <f t="shared" si="76"/>
        <v>0.53297009778345905</v>
      </c>
      <c r="AA70" s="107" t="str">
        <f t="shared" ref="AA70:AA78" si="83">IF(Z70&lt;0.05,"YES","NO")</f>
        <v>NO</v>
      </c>
      <c r="AB70" s="7"/>
    </row>
    <row r="71" spans="1:28" x14ac:dyDescent="0.35">
      <c r="A71" s="28" t="s">
        <v>3</v>
      </c>
      <c r="B71" s="178">
        <v>3170456.9802999999</v>
      </c>
      <c r="C71" s="177">
        <v>2953599.8946000002</v>
      </c>
      <c r="D71" s="179">
        <v>5504553.9172999999</v>
      </c>
      <c r="E71" s="176">
        <f t="shared" si="77"/>
        <v>3876203.5973999999</v>
      </c>
      <c r="F71" s="177">
        <f t="shared" si="78"/>
        <v>1414355.0905424699</v>
      </c>
      <c r="G71" s="177">
        <f t="shared" si="79"/>
        <v>1600464.0433758709</v>
      </c>
      <c r="H71" s="135">
        <f t="shared" si="4"/>
        <v>1047493.4163150601</v>
      </c>
      <c r="I71" s="136">
        <f t="shared" si="5"/>
        <v>6704913.7784849396</v>
      </c>
      <c r="J71" s="136" t="str">
        <f t="shared" si="6"/>
        <v/>
      </c>
      <c r="K71" s="136" t="str">
        <f t="shared" si="7"/>
        <v/>
      </c>
      <c r="L71" s="136" t="str">
        <f t="shared" si="8"/>
        <v/>
      </c>
      <c r="M71" s="170"/>
      <c r="N71" s="178">
        <v>3973721.6053999998</v>
      </c>
      <c r="O71" s="177">
        <v>4182097.0624000002</v>
      </c>
      <c r="P71" s="179">
        <v>5389941.2844000002</v>
      </c>
      <c r="Q71" s="176">
        <f t="shared" si="80"/>
        <v>4515253.3174000001</v>
      </c>
      <c r="R71" s="177">
        <f t="shared" si="81"/>
        <v>764633.48244825203</v>
      </c>
      <c r="S71" s="177">
        <f t="shared" si="82"/>
        <v>865248.34053542465</v>
      </c>
      <c r="T71" s="135">
        <f t="shared" si="12"/>
        <v>2985986.3525034962</v>
      </c>
      <c r="U71" s="135">
        <f t="shared" si="13"/>
        <v>6044520.2822965039</v>
      </c>
      <c r="V71" s="136" t="str">
        <f t="shared" si="14"/>
        <v/>
      </c>
      <c r="W71" s="136" t="str">
        <f t="shared" si="15"/>
        <v/>
      </c>
      <c r="X71" s="138" t="str">
        <f t="shared" si="16"/>
        <v/>
      </c>
      <c r="Y71" s="111"/>
      <c r="Z71" s="106">
        <f t="shared" si="76"/>
        <v>0.24818987719410635</v>
      </c>
      <c r="AA71" s="107" t="str">
        <f t="shared" si="83"/>
        <v>NO</v>
      </c>
      <c r="AB71" s="7"/>
    </row>
    <row r="72" spans="1:28" x14ac:dyDescent="0.35">
      <c r="A72" s="28" t="s">
        <v>0</v>
      </c>
      <c r="B72" s="178">
        <v>1421228.3230000001</v>
      </c>
      <c r="C72" s="177">
        <v>2917705.4514000001</v>
      </c>
      <c r="D72" s="179">
        <v>804085.20770000003</v>
      </c>
      <c r="E72" s="176">
        <f t="shared" si="77"/>
        <v>1714339.6607000001</v>
      </c>
      <c r="F72" s="177">
        <f t="shared" si="78"/>
        <v>1086868.5872086033</v>
      </c>
      <c r="G72" s="177">
        <f t="shared" si="79"/>
        <v>1229884.988100779</v>
      </c>
      <c r="H72" s="135">
        <f t="shared" si="4"/>
        <v>-459397.51371720643</v>
      </c>
      <c r="I72" s="136">
        <f t="shared" si="5"/>
        <v>3888076.8351172069</v>
      </c>
      <c r="J72" s="136" t="str">
        <f t="shared" si="6"/>
        <v/>
      </c>
      <c r="K72" s="136" t="str">
        <f t="shared" si="7"/>
        <v/>
      </c>
      <c r="L72" s="136" t="str">
        <f t="shared" si="8"/>
        <v/>
      </c>
      <c r="M72" s="170"/>
      <c r="N72" s="178">
        <v>2332233.9037000001</v>
      </c>
      <c r="O72" s="177">
        <v>1739842.5177</v>
      </c>
      <c r="P72" s="179">
        <v>927205.09950000001</v>
      </c>
      <c r="Q72" s="176">
        <f t="shared" si="80"/>
        <v>1666427.1736333333</v>
      </c>
      <c r="R72" s="177">
        <f t="shared" si="81"/>
        <v>705385.60002047196</v>
      </c>
      <c r="S72" s="177">
        <f t="shared" si="82"/>
        <v>798204.28200592648</v>
      </c>
      <c r="T72" s="135">
        <f t="shared" si="12"/>
        <v>255655.97359238937</v>
      </c>
      <c r="U72" s="135">
        <f t="shared" si="13"/>
        <v>3077198.3736742772</v>
      </c>
      <c r="V72" s="136" t="str">
        <f t="shared" si="14"/>
        <v/>
      </c>
      <c r="W72" s="136" t="str">
        <f t="shared" si="15"/>
        <v/>
      </c>
      <c r="X72" s="138" t="str">
        <f t="shared" si="16"/>
        <v/>
      </c>
      <c r="Y72" s="111"/>
      <c r="Z72" s="106">
        <f t="shared" si="76"/>
        <v>0.94445839859080039</v>
      </c>
      <c r="AA72" s="107" t="str">
        <f t="shared" si="83"/>
        <v>NO</v>
      </c>
      <c r="AB72" s="7"/>
    </row>
    <row r="73" spans="1:28" x14ac:dyDescent="0.35">
      <c r="A73" s="28" t="s">
        <v>4</v>
      </c>
      <c r="B73" s="178">
        <v>3742709.8626000001</v>
      </c>
      <c r="C73" s="177">
        <v>2562291.9116000002</v>
      </c>
      <c r="D73" s="179">
        <v>1144647.71</v>
      </c>
      <c r="E73" s="176">
        <f t="shared" si="77"/>
        <v>2483216.4947333331</v>
      </c>
      <c r="F73" s="177">
        <f t="shared" si="78"/>
        <v>1300834.896655842</v>
      </c>
      <c r="G73" s="177">
        <f t="shared" si="79"/>
        <v>1472006.2114442016</v>
      </c>
      <c r="H73" s="135">
        <f t="shared" si="4"/>
        <v>-118453.2985783508</v>
      </c>
      <c r="I73" s="136">
        <f t="shared" si="5"/>
        <v>5084886.288045017</v>
      </c>
      <c r="J73" s="136" t="str">
        <f t="shared" si="6"/>
        <v/>
      </c>
      <c r="K73" s="136" t="str">
        <f t="shared" si="7"/>
        <v/>
      </c>
      <c r="L73" s="136" t="str">
        <f t="shared" si="8"/>
        <v/>
      </c>
      <c r="M73" s="170"/>
      <c r="N73" s="178">
        <v>3404241.0550000002</v>
      </c>
      <c r="O73" s="177">
        <v>2424924.2502000001</v>
      </c>
      <c r="P73" s="179">
        <v>1358683.6309</v>
      </c>
      <c r="Q73" s="176">
        <f t="shared" si="80"/>
        <v>2395949.6453666668</v>
      </c>
      <c r="R73" s="177">
        <f t="shared" si="81"/>
        <v>1023086.4770959461</v>
      </c>
      <c r="S73" s="177">
        <f t="shared" si="82"/>
        <v>1157710.0622080204</v>
      </c>
      <c r="T73" s="135">
        <f t="shared" si="12"/>
        <v>349776.69117477466</v>
      </c>
      <c r="U73" s="135">
        <f t="shared" si="13"/>
        <v>4442122.5995585592</v>
      </c>
      <c r="V73" s="136" t="str">
        <f t="shared" si="14"/>
        <v/>
      </c>
      <c r="W73" s="136" t="str">
        <f t="shared" si="15"/>
        <v/>
      </c>
      <c r="X73" s="138" t="str">
        <f t="shared" si="16"/>
        <v/>
      </c>
      <c r="Y73" s="111"/>
      <c r="Z73" s="106">
        <f t="shared" si="76"/>
        <v>0.64298244713976127</v>
      </c>
      <c r="AA73" s="107" t="str">
        <f t="shared" si="83"/>
        <v>NO</v>
      </c>
      <c r="AB73" s="7"/>
    </row>
    <row r="74" spans="1:28" x14ac:dyDescent="0.35">
      <c r="A74" s="28" t="s">
        <v>5</v>
      </c>
      <c r="B74" s="178">
        <v>1626836.2357000001</v>
      </c>
      <c r="C74" s="177">
        <v>916434.99230000004</v>
      </c>
      <c r="D74" s="179">
        <v>1575860.0937000001</v>
      </c>
      <c r="E74" s="176">
        <f t="shared" si="77"/>
        <v>1373043.7739000001</v>
      </c>
      <c r="F74" s="177">
        <f t="shared" si="78"/>
        <v>396255.38020193303</v>
      </c>
      <c r="G74" s="177">
        <f t="shared" si="79"/>
        <v>448396.93528743688</v>
      </c>
      <c r="H74" s="135">
        <f t="shared" ref="H74:H143" si="84">E74-2*F74</f>
        <v>580533.01349613408</v>
      </c>
      <c r="I74" s="136">
        <f t="shared" ref="I74:I143" si="85">E74+2*F74</f>
        <v>2165554.5343038663</v>
      </c>
      <c r="J74" s="136" t="str">
        <f t="shared" ref="J74:J143" si="86">+IF(OR(B74&lt;H74,B74&gt;I74),"Valeur aberrante","")</f>
        <v/>
      </c>
      <c r="K74" s="136" t="str">
        <f t="shared" ref="K74:K143" si="87">+IF(OR(C74&lt;H74,C74&gt;I74),"Valeur aberrante","")</f>
        <v/>
      </c>
      <c r="L74" s="136" t="str">
        <f t="shared" ref="L74:L143" si="88">+IF(OR(D74&lt;H74,D74&gt;I74),"Valeur aberrante","")</f>
        <v/>
      </c>
      <c r="M74" s="170"/>
      <c r="N74" s="178">
        <v>1819172.2534</v>
      </c>
      <c r="O74" s="177">
        <v>771970.06090000004</v>
      </c>
      <c r="P74" s="179">
        <v>1599742.4073000001</v>
      </c>
      <c r="Q74" s="176">
        <f t="shared" si="80"/>
        <v>1396961.5738666668</v>
      </c>
      <c r="R74" s="177">
        <f t="shared" si="81"/>
        <v>552266.38300745701</v>
      </c>
      <c r="S74" s="177">
        <f t="shared" si="82"/>
        <v>624936.76042108529</v>
      </c>
      <c r="T74" s="135">
        <f t="shared" ref="T74:T143" si="89">Q74-2*R74</f>
        <v>292428.80785175273</v>
      </c>
      <c r="U74" s="135">
        <f t="shared" ref="U74:U143" si="90">Q74+2*R74</f>
        <v>2501494.3398815808</v>
      </c>
      <c r="V74" s="136" t="str">
        <f t="shared" ref="V74:V143" si="91">+IF(OR(N74&lt;T74,N74&gt;U74),"Valeur aberrante","")</f>
        <v/>
      </c>
      <c r="W74" s="136" t="str">
        <f t="shared" ref="W74:W143" si="92">+IF(OR(O74&lt;T74,O74&gt;U74),"Valeur aberrante","")</f>
        <v/>
      </c>
      <c r="X74" s="138" t="str">
        <f t="shared" ref="X74:X143" si="93">+IF(OR(P74&lt;T74,P74&gt;U74),"Valeur aberrante","")</f>
        <v/>
      </c>
      <c r="Y74" s="111"/>
      <c r="Z74" s="106">
        <f t="shared" si="76"/>
        <v>0.8286238262983151</v>
      </c>
      <c r="AA74" s="107" t="str">
        <f t="shared" si="83"/>
        <v>NO</v>
      </c>
      <c r="AB74" s="7"/>
    </row>
    <row r="75" spans="1:28" x14ac:dyDescent="0.35">
      <c r="A75" s="28" t="s">
        <v>6</v>
      </c>
      <c r="B75" s="178">
        <v>2835465.835</v>
      </c>
      <c r="C75" s="177">
        <v>4586628.4983000001</v>
      </c>
      <c r="D75" s="179">
        <v>5320344.2737999996</v>
      </c>
      <c r="E75" s="176">
        <f t="shared" si="77"/>
        <v>4247479.5356999999</v>
      </c>
      <c r="F75" s="177">
        <f t="shared" si="78"/>
        <v>1276683.879442275</v>
      </c>
      <c r="G75" s="177">
        <f t="shared" si="79"/>
        <v>1444677.2649019011</v>
      </c>
      <c r="H75" s="135">
        <f t="shared" si="84"/>
        <v>1694111.7768154498</v>
      </c>
      <c r="I75" s="136">
        <f t="shared" si="85"/>
        <v>6800847.29458455</v>
      </c>
      <c r="J75" s="136" t="str">
        <f t="shared" si="86"/>
        <v/>
      </c>
      <c r="K75" s="136" t="str">
        <f t="shared" si="87"/>
        <v/>
      </c>
      <c r="L75" s="136" t="str">
        <f t="shared" si="88"/>
        <v/>
      </c>
      <c r="M75" s="170"/>
      <c r="N75" s="178">
        <v>3359954.09</v>
      </c>
      <c r="O75" s="177">
        <v>3007077.8242000001</v>
      </c>
      <c r="P75" s="179">
        <v>4019147.5704000001</v>
      </c>
      <c r="Q75" s="176">
        <f t="shared" si="80"/>
        <v>3462059.8281999999</v>
      </c>
      <c r="R75" s="177">
        <f t="shared" si="81"/>
        <v>513702.71473232395</v>
      </c>
      <c r="S75" s="177">
        <f t="shared" si="82"/>
        <v>581298.66354729899</v>
      </c>
      <c r="T75" s="135">
        <f t="shared" si="89"/>
        <v>2434654.3987353519</v>
      </c>
      <c r="U75" s="135">
        <f t="shared" si="90"/>
        <v>4489465.2576646479</v>
      </c>
      <c r="V75" s="136" t="str">
        <f t="shared" si="91"/>
        <v/>
      </c>
      <c r="W75" s="136" t="str">
        <f t="shared" si="92"/>
        <v/>
      </c>
      <c r="X75" s="138" t="str">
        <f t="shared" si="93"/>
        <v/>
      </c>
      <c r="Y75" s="111"/>
      <c r="Z75" s="106">
        <f t="shared" si="76"/>
        <v>0.35606776559830888</v>
      </c>
      <c r="AA75" s="107" t="str">
        <f t="shared" si="83"/>
        <v>NO</v>
      </c>
      <c r="AB75" s="7"/>
    </row>
    <row r="76" spans="1:28" x14ac:dyDescent="0.35">
      <c r="A76" s="28" t="s">
        <v>42</v>
      </c>
      <c r="B76" s="178">
        <v>2860852.2196999998</v>
      </c>
      <c r="C76" s="177">
        <v>4162464.1231999998</v>
      </c>
      <c r="D76" s="179">
        <v>1622885.31</v>
      </c>
      <c r="E76" s="176">
        <f t="shared" si="77"/>
        <v>2882067.2176333331</v>
      </c>
      <c r="F76" s="177">
        <f t="shared" si="78"/>
        <v>1269922.3181819296</v>
      </c>
      <c r="G76" s="177">
        <f t="shared" si="79"/>
        <v>1437025.9786396122</v>
      </c>
      <c r="H76" s="135">
        <f t="shared" si="84"/>
        <v>342222.58126947377</v>
      </c>
      <c r="I76" s="136">
        <f t="shared" si="85"/>
        <v>5421911.8539971923</v>
      </c>
      <c r="J76" s="136" t="str">
        <f t="shared" si="86"/>
        <v/>
      </c>
      <c r="K76" s="136" t="str">
        <f t="shared" si="87"/>
        <v/>
      </c>
      <c r="L76" s="136" t="str">
        <f t="shared" si="88"/>
        <v/>
      </c>
      <c r="M76" s="170"/>
      <c r="N76" s="178">
        <v>2595367.0869</v>
      </c>
      <c r="O76" s="177">
        <v>2779441.7259</v>
      </c>
      <c r="P76" s="179">
        <v>1355958.1283</v>
      </c>
      <c r="Q76" s="176">
        <f t="shared" si="80"/>
        <v>2243588.9803666663</v>
      </c>
      <c r="R76" s="177">
        <f t="shared" si="81"/>
        <v>774201.04968683317</v>
      </c>
      <c r="S76" s="177">
        <f t="shared" si="82"/>
        <v>876074.86313241767</v>
      </c>
      <c r="T76" s="135">
        <f t="shared" si="89"/>
        <v>695186.880993</v>
      </c>
      <c r="U76" s="135">
        <f t="shared" si="90"/>
        <v>3791991.0797403324</v>
      </c>
      <c r="V76" s="136" t="str">
        <f t="shared" si="91"/>
        <v/>
      </c>
      <c r="W76" s="136" t="str">
        <f t="shared" si="92"/>
        <v/>
      </c>
      <c r="X76" s="138" t="str">
        <f t="shared" si="93"/>
        <v/>
      </c>
      <c r="Y76" s="111"/>
      <c r="Z76" s="106">
        <f t="shared" si="76"/>
        <v>0.22846540375096658</v>
      </c>
      <c r="AA76" s="107" t="str">
        <f t="shared" si="83"/>
        <v>NO</v>
      </c>
      <c r="AB76" s="7"/>
    </row>
    <row r="77" spans="1:28" x14ac:dyDescent="0.35">
      <c r="A77" s="37" t="s">
        <v>8</v>
      </c>
      <c r="B77" s="180">
        <v>6929544.8499999996</v>
      </c>
      <c r="C77" s="181">
        <v>9365398.1079999991</v>
      </c>
      <c r="D77" s="182">
        <v>15571655.372</v>
      </c>
      <c r="E77" s="176">
        <f t="shared" ref="E77" si="94">AVERAGE(B77:D77)</f>
        <v>10622199.443333333</v>
      </c>
      <c r="F77" s="177">
        <f t="shared" ref="F77" si="95">_xlfn.STDEV.S(B77:D77)</f>
        <v>4456027.4646805683</v>
      </c>
      <c r="G77" s="177">
        <f t="shared" ref="G77" si="96">_xlfn.CONFIDENCE.NORM(0.05, F77, 3)</f>
        <v>5042377.1096841423</v>
      </c>
      <c r="H77" s="135">
        <f t="shared" ref="H77" si="97">E77-2*F77</f>
        <v>1710144.5139721967</v>
      </c>
      <c r="I77" s="136">
        <f t="shared" ref="I77" si="98">E77+2*F77</f>
        <v>19534254.37269447</v>
      </c>
      <c r="J77" s="142"/>
      <c r="K77" s="142"/>
      <c r="L77" s="142"/>
      <c r="M77" s="184"/>
      <c r="N77" s="180">
        <v>6473114.3710000003</v>
      </c>
      <c r="O77" s="41">
        <v>8553715.3509999998</v>
      </c>
      <c r="P77" s="41">
        <v>16069169.802999999</v>
      </c>
      <c r="Q77" s="176">
        <f t="shared" ref="Q77" si="99">AVERAGE(N77:P77)</f>
        <v>10365333.174999999</v>
      </c>
      <c r="R77" s="177">
        <f t="shared" ref="R77" si="100">_xlfn.STDEV.S(N77:P77)</f>
        <v>5048023.3080563387</v>
      </c>
      <c r="S77" s="177">
        <f t="shared" ref="S77" si="101">_xlfn.CONFIDENCE.NORM(0.05, R77, 3)</f>
        <v>5712271.1606805557</v>
      </c>
      <c r="T77" s="135">
        <f t="shared" ref="T77" si="102">Q77-2*R77</f>
        <v>269286.5588873215</v>
      </c>
      <c r="U77" s="135">
        <f t="shared" ref="U77" si="103">Q77+2*R77</f>
        <v>20461379.791112676</v>
      </c>
      <c r="V77" s="142"/>
      <c r="W77" s="142"/>
      <c r="X77" s="144"/>
      <c r="Y77" s="111"/>
      <c r="Z77" s="106">
        <f t="shared" si="76"/>
        <v>0.57860155115828626</v>
      </c>
      <c r="AA77" s="107" t="str">
        <f t="shared" si="83"/>
        <v>NO</v>
      </c>
      <c r="AB77" s="7"/>
    </row>
    <row r="78" spans="1:28" ht="15" thickBot="1" x14ac:dyDescent="0.4">
      <c r="A78" s="29" t="s">
        <v>43</v>
      </c>
      <c r="B78" s="192">
        <v>1628184.7169999999</v>
      </c>
      <c r="C78" s="189">
        <v>2059006.7508</v>
      </c>
      <c r="D78" s="193">
        <v>2904735.1904000002</v>
      </c>
      <c r="E78" s="188">
        <f t="shared" si="77"/>
        <v>2197308.8860666663</v>
      </c>
      <c r="F78" s="189">
        <f t="shared" si="78"/>
        <v>649415.80535811768</v>
      </c>
      <c r="G78" s="189">
        <f t="shared" si="79"/>
        <v>734869.6608268338</v>
      </c>
      <c r="H78" s="146">
        <f t="shared" si="84"/>
        <v>898477.27535043098</v>
      </c>
      <c r="I78" s="149">
        <f t="shared" si="85"/>
        <v>3496140.4967829017</v>
      </c>
      <c r="J78" s="149" t="str">
        <f t="shared" si="86"/>
        <v/>
      </c>
      <c r="K78" s="149" t="str">
        <f t="shared" si="87"/>
        <v/>
      </c>
      <c r="L78" s="149" t="str">
        <f t="shared" si="88"/>
        <v/>
      </c>
      <c r="M78" s="190"/>
      <c r="N78" s="192">
        <v>1137674.6421999999</v>
      </c>
      <c r="O78" s="189">
        <v>1728753.0333</v>
      </c>
      <c r="P78" s="193">
        <v>2892669.8314</v>
      </c>
      <c r="Q78" s="188">
        <f t="shared" si="80"/>
        <v>1919699.1689666666</v>
      </c>
      <c r="R78" s="189">
        <f t="shared" si="81"/>
        <v>892943.08249367808</v>
      </c>
      <c r="S78" s="189">
        <f t="shared" si="82"/>
        <v>1010441.653491848</v>
      </c>
      <c r="T78" s="146">
        <f t="shared" si="89"/>
        <v>133813.00397931039</v>
      </c>
      <c r="U78" s="146">
        <f t="shared" si="90"/>
        <v>3705585.3339540227</v>
      </c>
      <c r="V78" s="149" t="str">
        <f t="shared" si="91"/>
        <v/>
      </c>
      <c r="W78" s="149" t="str">
        <f t="shared" si="92"/>
        <v/>
      </c>
      <c r="X78" s="147" t="str">
        <f t="shared" si="93"/>
        <v/>
      </c>
      <c r="Y78" s="111"/>
      <c r="Z78" s="106">
        <f t="shared" si="76"/>
        <v>0.18702502157643663</v>
      </c>
      <c r="AA78" s="107" t="str">
        <f t="shared" si="83"/>
        <v>NO</v>
      </c>
      <c r="AB78" s="7"/>
    </row>
    <row r="79" spans="1:28" x14ac:dyDescent="0.35">
      <c r="A79" s="30" t="s">
        <v>47</v>
      </c>
      <c r="B79" s="163" t="s">
        <v>146</v>
      </c>
      <c r="C79" s="164"/>
      <c r="D79" s="165"/>
      <c r="E79" s="191"/>
      <c r="F79" s="122"/>
      <c r="G79" s="122"/>
      <c r="H79" s="154"/>
      <c r="I79" s="155"/>
      <c r="J79" s="155"/>
      <c r="K79" s="155"/>
      <c r="L79" s="155"/>
      <c r="M79" s="166"/>
      <c r="N79" s="163" t="s">
        <v>147</v>
      </c>
      <c r="O79" s="164"/>
      <c r="P79" s="165"/>
      <c r="Q79" s="191"/>
      <c r="R79" s="122"/>
      <c r="S79" s="122"/>
      <c r="T79" s="154"/>
      <c r="U79" s="154"/>
      <c r="V79" s="155"/>
      <c r="W79" s="155" t="str">
        <f t="shared" si="92"/>
        <v/>
      </c>
      <c r="X79" s="157" t="str">
        <f t="shared" si="93"/>
        <v/>
      </c>
      <c r="Y79" s="111"/>
      <c r="Z79" s="106"/>
      <c r="AA79" s="107"/>
      <c r="AB79" s="7"/>
    </row>
    <row r="80" spans="1:28" ht="17" thickBot="1" x14ac:dyDescent="0.4">
      <c r="A80" s="31" t="s">
        <v>48</v>
      </c>
      <c r="B80" s="167" t="s">
        <v>149</v>
      </c>
      <c r="C80" s="168"/>
      <c r="D80" s="169"/>
      <c r="E80" s="161"/>
      <c r="F80" s="107"/>
      <c r="G80" s="107"/>
      <c r="H80" s="135"/>
      <c r="I80" s="136"/>
      <c r="J80" s="136"/>
      <c r="K80" s="136"/>
      <c r="L80" s="136"/>
      <c r="M80" s="170"/>
      <c r="N80" s="167" t="s">
        <v>148</v>
      </c>
      <c r="O80" s="168"/>
      <c r="P80" s="169"/>
      <c r="Q80" s="161"/>
      <c r="R80" s="107"/>
      <c r="S80" s="107"/>
      <c r="T80" s="135"/>
      <c r="U80" s="135"/>
      <c r="V80" s="136"/>
      <c r="W80" s="136" t="str">
        <f t="shared" si="92"/>
        <v/>
      </c>
      <c r="X80" s="138" t="str">
        <f t="shared" si="93"/>
        <v/>
      </c>
      <c r="Y80" s="111"/>
      <c r="Z80" s="106"/>
      <c r="AA80" s="107"/>
      <c r="AB80" s="7"/>
    </row>
    <row r="81" spans="1:28" ht="15" thickBot="1" x14ac:dyDescent="0.4">
      <c r="A81" s="28" t="s">
        <v>49</v>
      </c>
      <c r="B81" s="115">
        <v>1</v>
      </c>
      <c r="C81" s="116">
        <v>2</v>
      </c>
      <c r="D81" s="114">
        <v>3</v>
      </c>
      <c r="E81" s="161" t="s">
        <v>30</v>
      </c>
      <c r="F81" s="107" t="s">
        <v>31</v>
      </c>
      <c r="G81" s="107" t="s">
        <v>51</v>
      </c>
      <c r="H81" s="107" t="s">
        <v>52</v>
      </c>
      <c r="I81" s="107" t="s">
        <v>53</v>
      </c>
      <c r="J81" s="107" t="s">
        <v>54</v>
      </c>
      <c r="K81" s="107" t="s">
        <v>55</v>
      </c>
      <c r="L81" s="107" t="s">
        <v>56</v>
      </c>
      <c r="M81" s="162" t="s">
        <v>57</v>
      </c>
      <c r="N81" s="115">
        <v>1</v>
      </c>
      <c r="O81" s="116">
        <v>2</v>
      </c>
      <c r="P81" s="114">
        <v>3</v>
      </c>
      <c r="Q81" s="161" t="s">
        <v>30</v>
      </c>
      <c r="R81" s="107" t="s">
        <v>31</v>
      </c>
      <c r="S81" s="107" t="s">
        <v>51</v>
      </c>
      <c r="T81" s="107" t="s">
        <v>52</v>
      </c>
      <c r="U81" s="107" t="s">
        <v>53</v>
      </c>
      <c r="V81" s="107" t="s">
        <v>54</v>
      </c>
      <c r="W81" s="107" t="s">
        <v>55</v>
      </c>
      <c r="X81" s="107" t="s">
        <v>56</v>
      </c>
      <c r="Y81" s="111"/>
      <c r="Z81" s="106"/>
      <c r="AA81" s="107"/>
      <c r="AB81" s="7"/>
    </row>
    <row r="82" spans="1:28" x14ac:dyDescent="0.35">
      <c r="A82" s="28" t="s">
        <v>2</v>
      </c>
      <c r="B82" s="178">
        <v>848575.33490000002</v>
      </c>
      <c r="C82" s="177">
        <v>1067299.5305999999</v>
      </c>
      <c r="D82" s="179">
        <v>524098.80709999998</v>
      </c>
      <c r="E82" s="176">
        <f>AVERAGE(B82:D82)</f>
        <v>813324.55753333319</v>
      </c>
      <c r="F82" s="177">
        <f>_xlfn.STDEV.S(B82:D82)</f>
        <v>273310.66477809969</v>
      </c>
      <c r="G82" s="177">
        <f>_xlfn.CONFIDENCE.NORM(0.05, F82, 3)</f>
        <v>309274.44923377241</v>
      </c>
      <c r="H82" s="135">
        <f t="shared" si="84"/>
        <v>266703.22797713382</v>
      </c>
      <c r="I82" s="136">
        <f t="shared" si="85"/>
        <v>1359945.8870895326</v>
      </c>
      <c r="J82" s="136" t="str">
        <f t="shared" si="86"/>
        <v/>
      </c>
      <c r="K82" s="136" t="str">
        <f t="shared" si="87"/>
        <v/>
      </c>
      <c r="L82" s="136" t="str">
        <f t="shared" si="88"/>
        <v/>
      </c>
      <c r="M82" s="170"/>
      <c r="N82" s="173">
        <v>962983.51089999999</v>
      </c>
      <c r="O82" s="174">
        <v>1238938.2607</v>
      </c>
      <c r="P82" s="175">
        <v>617622.59970000002</v>
      </c>
      <c r="Q82" s="176">
        <f>AVERAGE(N82:P82)</f>
        <v>939848.12376666674</v>
      </c>
      <c r="R82" s="177">
        <f>_xlfn.STDEV.S(N82:P82)</f>
        <v>311303.26412410656</v>
      </c>
      <c r="S82" s="177">
        <f>_xlfn.CONFIDENCE.NORM(0.05, R82, 3)</f>
        <v>352266.33265418542</v>
      </c>
      <c r="T82" s="135">
        <f t="shared" si="89"/>
        <v>317241.59551845363</v>
      </c>
      <c r="U82" s="135">
        <f t="shared" si="90"/>
        <v>1562454.65201488</v>
      </c>
      <c r="V82" s="136" t="str">
        <f t="shared" si="91"/>
        <v/>
      </c>
      <c r="W82" s="136" t="str">
        <f t="shared" si="92"/>
        <v/>
      </c>
      <c r="X82" s="138" t="str">
        <f t="shared" si="93"/>
        <v/>
      </c>
      <c r="Y82" s="111"/>
      <c r="Z82" s="106">
        <f t="shared" ref="Z82:Z91" si="104">_xlfn.T.TEST(B82:D82,N82:P82,2,1)</f>
        <v>3.2410347823046554E-2</v>
      </c>
      <c r="AA82" s="107" t="str">
        <f>IF(Z82&lt;0.05,"YES","NO")</f>
        <v>YES</v>
      </c>
      <c r="AB82" s="7"/>
    </row>
    <row r="83" spans="1:28" x14ac:dyDescent="0.35">
      <c r="A83" s="28" t="s">
        <v>1</v>
      </c>
      <c r="B83" s="178">
        <v>1457692.1575</v>
      </c>
      <c r="C83" s="177">
        <v>2359348.8097999999</v>
      </c>
      <c r="D83" s="179">
        <v>659705.1716</v>
      </c>
      <c r="E83" s="176">
        <f t="shared" ref="E83:E91" si="105">AVERAGE(B83:D83)</f>
        <v>1492248.7129666666</v>
      </c>
      <c r="F83" s="177">
        <f t="shared" ref="F83:F91" si="106">_xlfn.STDEV.S(B83:D83)</f>
        <v>850348.59961237293</v>
      </c>
      <c r="G83" s="177">
        <f t="shared" ref="G83:G91" si="107">_xlfn.CONFIDENCE.NORM(0.05, F83, 3)</f>
        <v>962242.3443130115</v>
      </c>
      <c r="H83" s="135">
        <f t="shared" si="84"/>
        <v>-208448.4862580793</v>
      </c>
      <c r="I83" s="136">
        <f t="shared" si="85"/>
        <v>3192945.9121914124</v>
      </c>
      <c r="J83" s="136" t="str">
        <f t="shared" si="86"/>
        <v/>
      </c>
      <c r="K83" s="136" t="str">
        <f t="shared" si="87"/>
        <v/>
      </c>
      <c r="L83" s="136" t="str">
        <f t="shared" si="88"/>
        <v/>
      </c>
      <c r="M83" s="170"/>
      <c r="N83" s="173">
        <v>1789042.8753</v>
      </c>
      <c r="O83" s="174">
        <v>2614939.023</v>
      </c>
      <c r="P83" s="175">
        <v>753701.59889999998</v>
      </c>
      <c r="Q83" s="176">
        <f t="shared" ref="Q83:Q91" si="108">AVERAGE(N83:P83)</f>
        <v>1719227.8323999997</v>
      </c>
      <c r="R83" s="177">
        <f t="shared" ref="R83:R91" si="109">_xlfn.STDEV.S(N83:P83)</f>
        <v>932580.71628087468</v>
      </c>
      <c r="S83" s="177">
        <f t="shared" ref="S83:S91" si="110">_xlfn.CONFIDENCE.NORM(0.05, R83, 3)</f>
        <v>1055295.0344179752</v>
      </c>
      <c r="T83" s="135">
        <f t="shared" si="89"/>
        <v>-145933.60016174964</v>
      </c>
      <c r="U83" s="135">
        <f t="shared" si="90"/>
        <v>3584389.2649617493</v>
      </c>
      <c r="V83" s="136" t="str">
        <f t="shared" si="91"/>
        <v/>
      </c>
      <c r="W83" s="136" t="str">
        <f t="shared" si="92"/>
        <v/>
      </c>
      <c r="X83" s="138" t="str">
        <f t="shared" si="93"/>
        <v/>
      </c>
      <c r="Y83" s="111"/>
      <c r="Z83" s="106">
        <f t="shared" si="104"/>
        <v>8.3376989916873256E-2</v>
      </c>
      <c r="AA83" s="107" t="str">
        <f t="shared" ref="AA83:AA91" si="111">IF(Z83&lt;0.05,"YES","NO")</f>
        <v>NO</v>
      </c>
      <c r="AB83" s="7"/>
    </row>
    <row r="84" spans="1:28" x14ac:dyDescent="0.35">
      <c r="A84" s="28" t="s">
        <v>3</v>
      </c>
      <c r="B84" s="178">
        <v>210142.78229999999</v>
      </c>
      <c r="C84" s="177">
        <v>1336970.2334</v>
      </c>
      <c r="D84" s="179">
        <v>746245.54570000002</v>
      </c>
      <c r="E84" s="176">
        <f t="shared" si="105"/>
        <v>764452.85380000004</v>
      </c>
      <c r="F84" s="177">
        <f t="shared" si="106"/>
        <v>563634.32799051271</v>
      </c>
      <c r="G84" s="177">
        <f t="shared" si="107"/>
        <v>637800.5647896739</v>
      </c>
      <c r="H84" s="135">
        <f t="shared" si="84"/>
        <v>-362815.80218102538</v>
      </c>
      <c r="I84" s="136">
        <f t="shared" si="85"/>
        <v>1891721.5097810254</v>
      </c>
      <c r="J84" s="136" t="str">
        <f t="shared" si="86"/>
        <v/>
      </c>
      <c r="K84" s="136" t="str">
        <f t="shared" si="87"/>
        <v/>
      </c>
      <c r="L84" s="136" t="str">
        <f t="shared" si="88"/>
        <v/>
      </c>
      <c r="M84" s="170"/>
      <c r="N84" s="173">
        <v>253228.49720000001</v>
      </c>
      <c r="O84" s="174">
        <v>1459209.031</v>
      </c>
      <c r="P84" s="175">
        <v>934645.92709999997</v>
      </c>
      <c r="Q84" s="176">
        <f t="shared" si="108"/>
        <v>882361.15176666668</v>
      </c>
      <c r="R84" s="177">
        <f t="shared" si="109"/>
        <v>604687.96521418879</v>
      </c>
      <c r="S84" s="177">
        <f t="shared" si="110"/>
        <v>684256.27500392427</v>
      </c>
      <c r="T84" s="135">
        <f t="shared" si="89"/>
        <v>-327014.77866171091</v>
      </c>
      <c r="U84" s="135">
        <f t="shared" si="90"/>
        <v>2091737.0821950443</v>
      </c>
      <c r="V84" s="136" t="str">
        <f t="shared" si="91"/>
        <v/>
      </c>
      <c r="W84" s="136" t="str">
        <f t="shared" si="92"/>
        <v/>
      </c>
      <c r="X84" s="138" t="str">
        <f t="shared" si="93"/>
        <v/>
      </c>
      <c r="Y84" s="111"/>
      <c r="Z84" s="106">
        <f t="shared" si="104"/>
        <v>0.10693816091818276</v>
      </c>
      <c r="AA84" s="107" t="str">
        <f t="shared" si="111"/>
        <v>NO</v>
      </c>
      <c r="AB84" s="7"/>
    </row>
    <row r="85" spans="1:28" x14ac:dyDescent="0.35">
      <c r="A85" s="28" t="s">
        <v>0</v>
      </c>
      <c r="B85" s="178">
        <v>1014083.9908</v>
      </c>
      <c r="C85" s="177">
        <v>2248311.2475000001</v>
      </c>
      <c r="D85" s="179">
        <v>1169310.2505000001</v>
      </c>
      <c r="E85" s="176">
        <f t="shared" si="105"/>
        <v>1477235.1629333335</v>
      </c>
      <c r="F85" s="177">
        <f t="shared" si="106"/>
        <v>672266.7209286124</v>
      </c>
      <c r="G85" s="177">
        <f t="shared" si="107"/>
        <v>760727.43089698465</v>
      </c>
      <c r="H85" s="135">
        <f t="shared" si="84"/>
        <v>132701.72107610875</v>
      </c>
      <c r="I85" s="136">
        <f t="shared" si="85"/>
        <v>2821768.6047905581</v>
      </c>
      <c r="J85" s="136" t="str">
        <f t="shared" si="86"/>
        <v/>
      </c>
      <c r="K85" s="136" t="str">
        <f t="shared" si="87"/>
        <v/>
      </c>
      <c r="L85" s="136" t="str">
        <f t="shared" si="88"/>
        <v/>
      </c>
      <c r="M85" s="170"/>
      <c r="N85" s="173">
        <v>1099227.5581</v>
      </c>
      <c r="O85" s="174">
        <v>2508881.7568000001</v>
      </c>
      <c r="P85" s="175">
        <v>1431578.1355999999</v>
      </c>
      <c r="Q85" s="176">
        <f t="shared" si="108"/>
        <v>1679895.8168333333</v>
      </c>
      <c r="R85" s="177">
        <f t="shared" si="109"/>
        <v>736903.99177094945</v>
      </c>
      <c r="S85" s="177">
        <f t="shared" si="110"/>
        <v>833870.0444717909</v>
      </c>
      <c r="T85" s="135">
        <f t="shared" si="89"/>
        <v>206087.83329143445</v>
      </c>
      <c r="U85" s="135">
        <f t="shared" si="90"/>
        <v>3153703.8003752325</v>
      </c>
      <c r="V85" s="136" t="str">
        <f t="shared" si="91"/>
        <v/>
      </c>
      <c r="W85" s="136" t="str">
        <f t="shared" si="92"/>
        <v/>
      </c>
      <c r="X85" s="138" t="str">
        <f t="shared" si="93"/>
        <v/>
      </c>
      <c r="Y85" s="111"/>
      <c r="Z85" s="106">
        <f t="shared" si="104"/>
        <v>7.476275794586229E-2</v>
      </c>
      <c r="AA85" s="107" t="str">
        <f t="shared" si="111"/>
        <v>NO</v>
      </c>
      <c r="AB85" s="7"/>
    </row>
    <row r="86" spans="1:28" x14ac:dyDescent="0.35">
      <c r="A86" s="28" t="s">
        <v>4</v>
      </c>
      <c r="B86" s="178">
        <v>1711414.0608000001</v>
      </c>
      <c r="C86" s="177">
        <v>1009261.9212</v>
      </c>
      <c r="D86" s="179">
        <v>1419083.0867000001</v>
      </c>
      <c r="E86" s="176">
        <f t="shared" si="105"/>
        <v>1379919.6895666665</v>
      </c>
      <c r="F86" s="177">
        <f t="shared" si="106"/>
        <v>352710.55490654503</v>
      </c>
      <c r="G86" s="177">
        <f t="shared" si="107"/>
        <v>399122.23219033657</v>
      </c>
      <c r="H86" s="135">
        <f t="shared" si="84"/>
        <v>674498.57975357643</v>
      </c>
      <c r="I86" s="136">
        <f t="shared" si="85"/>
        <v>2085340.7993797567</v>
      </c>
      <c r="J86" s="136" t="str">
        <f t="shared" si="86"/>
        <v/>
      </c>
      <c r="K86" s="136" t="str">
        <f t="shared" si="87"/>
        <v/>
      </c>
      <c r="L86" s="136" t="str">
        <f t="shared" si="88"/>
        <v/>
      </c>
      <c r="M86" s="170"/>
      <c r="N86" s="173">
        <v>1704555.0765</v>
      </c>
      <c r="O86" s="174">
        <v>1071667.5566</v>
      </c>
      <c r="P86" s="175">
        <v>1383458.9047000001</v>
      </c>
      <c r="Q86" s="176">
        <f t="shared" si="108"/>
        <v>1386560.5126</v>
      </c>
      <c r="R86" s="177">
        <f t="shared" si="109"/>
        <v>316455.15984095959</v>
      </c>
      <c r="S86" s="177">
        <f t="shared" si="110"/>
        <v>358096.14435082447</v>
      </c>
      <c r="T86" s="135">
        <f t="shared" si="89"/>
        <v>753650.19291808084</v>
      </c>
      <c r="U86" s="135">
        <f t="shared" si="90"/>
        <v>2019470.8322819192</v>
      </c>
      <c r="V86" s="136" t="str">
        <f t="shared" si="91"/>
        <v/>
      </c>
      <c r="W86" s="136" t="str">
        <f t="shared" si="92"/>
        <v/>
      </c>
      <c r="X86" s="138" t="str">
        <f t="shared" si="93"/>
        <v/>
      </c>
      <c r="Y86" s="111"/>
      <c r="Z86" s="106">
        <f t="shared" si="104"/>
        <v>0.8406547844794271</v>
      </c>
      <c r="AA86" s="107" t="str">
        <f t="shared" si="111"/>
        <v>NO</v>
      </c>
      <c r="AB86" s="7"/>
    </row>
    <row r="87" spans="1:28" x14ac:dyDescent="0.35">
      <c r="A87" s="28" t="s">
        <v>5</v>
      </c>
      <c r="B87" s="178">
        <v>1318608.7146999999</v>
      </c>
      <c r="C87" s="177">
        <v>2977614.4640000002</v>
      </c>
      <c r="D87" s="179">
        <v>2305345.3856000002</v>
      </c>
      <c r="E87" s="176">
        <f t="shared" si="105"/>
        <v>2200522.8547666669</v>
      </c>
      <c r="F87" s="177">
        <f t="shared" si="106"/>
        <v>834455.415993175</v>
      </c>
      <c r="G87" s="177">
        <f t="shared" si="107"/>
        <v>944257.84446047398</v>
      </c>
      <c r="H87" s="135">
        <f t="shared" si="84"/>
        <v>531612.02278031688</v>
      </c>
      <c r="I87" s="136">
        <f t="shared" si="85"/>
        <v>3869433.6867530169</v>
      </c>
      <c r="J87" s="136" t="str">
        <f t="shared" si="86"/>
        <v/>
      </c>
      <c r="K87" s="136" t="str">
        <f t="shared" si="87"/>
        <v/>
      </c>
      <c r="L87" s="136" t="str">
        <f t="shared" si="88"/>
        <v/>
      </c>
      <c r="M87" s="170" t="s">
        <v>59</v>
      </c>
      <c r="N87" s="173">
        <v>1291810.8226000001</v>
      </c>
      <c r="O87" s="174">
        <v>2870157.0433</v>
      </c>
      <c r="P87" s="175">
        <v>2328740.3708000001</v>
      </c>
      <c r="Q87" s="176">
        <f t="shared" si="108"/>
        <v>2163569.4122333336</v>
      </c>
      <c r="R87" s="177">
        <f t="shared" si="109"/>
        <v>802031.97084958351</v>
      </c>
      <c r="S87" s="177">
        <f t="shared" si="110"/>
        <v>907567.9364863846</v>
      </c>
      <c r="T87" s="135">
        <f t="shared" si="89"/>
        <v>559505.47053416655</v>
      </c>
      <c r="U87" s="135">
        <f t="shared" si="90"/>
        <v>3767633.3539325008</v>
      </c>
      <c r="V87" s="136" t="str">
        <f t="shared" si="91"/>
        <v/>
      </c>
      <c r="W87" s="136" t="str">
        <f t="shared" si="92"/>
        <v/>
      </c>
      <c r="X87" s="138" t="str">
        <f t="shared" si="93"/>
        <v/>
      </c>
      <c r="Y87" s="111"/>
      <c r="Z87" s="106">
        <f t="shared" si="104"/>
        <v>0.43454538863105874</v>
      </c>
      <c r="AA87" s="107" t="str">
        <f t="shared" si="111"/>
        <v>NO</v>
      </c>
      <c r="AB87" s="7" t="s">
        <v>59</v>
      </c>
    </row>
    <row r="88" spans="1:28" x14ac:dyDescent="0.35">
      <c r="A88" s="28" t="s">
        <v>6</v>
      </c>
      <c r="B88" s="178">
        <v>3331180.0394000001</v>
      </c>
      <c r="C88" s="177">
        <v>3382524.9424999999</v>
      </c>
      <c r="D88" s="179">
        <v>1274370.9245</v>
      </c>
      <c r="E88" s="176">
        <f t="shared" si="105"/>
        <v>2662691.9687999999</v>
      </c>
      <c r="F88" s="177">
        <f t="shared" si="106"/>
        <v>1202595.3460342633</v>
      </c>
      <c r="G88" s="177">
        <f t="shared" si="107"/>
        <v>1360839.7374387693</v>
      </c>
      <c r="H88" s="135">
        <f t="shared" si="84"/>
        <v>257501.27673147339</v>
      </c>
      <c r="I88" s="136">
        <f t="shared" si="85"/>
        <v>5067882.6608685264</v>
      </c>
      <c r="J88" s="136" t="str">
        <f t="shared" si="86"/>
        <v/>
      </c>
      <c r="K88" s="136" t="str">
        <f t="shared" si="87"/>
        <v/>
      </c>
      <c r="L88" s="136" t="str">
        <f t="shared" si="88"/>
        <v/>
      </c>
      <c r="M88" s="170"/>
      <c r="N88" s="173">
        <v>3367176.4144000001</v>
      </c>
      <c r="O88" s="174">
        <v>3409943.1562000001</v>
      </c>
      <c r="P88" s="175">
        <v>1316357.8334999999</v>
      </c>
      <c r="Q88" s="176">
        <f t="shared" si="108"/>
        <v>2697825.8013666668</v>
      </c>
      <c r="R88" s="177">
        <f t="shared" si="109"/>
        <v>1196577.435117465</v>
      </c>
      <c r="S88" s="177">
        <f t="shared" si="110"/>
        <v>1354029.9552963793</v>
      </c>
      <c r="T88" s="135">
        <f t="shared" si="89"/>
        <v>304670.93113173684</v>
      </c>
      <c r="U88" s="135">
        <f t="shared" si="90"/>
        <v>5090980.6716015972</v>
      </c>
      <c r="V88" s="136" t="str">
        <f t="shared" si="91"/>
        <v/>
      </c>
      <c r="W88" s="136" t="str">
        <f t="shared" si="92"/>
        <v/>
      </c>
      <c r="X88" s="138" t="str">
        <f t="shared" si="93"/>
        <v/>
      </c>
      <c r="Y88" s="111"/>
      <c r="Z88" s="106">
        <f t="shared" si="104"/>
        <v>1.4172371596041925E-2</v>
      </c>
      <c r="AA88" s="107" t="str">
        <f t="shared" si="111"/>
        <v>YES</v>
      </c>
      <c r="AB88" s="7"/>
    </row>
    <row r="89" spans="1:28" x14ac:dyDescent="0.35">
      <c r="A89" s="28" t="s">
        <v>42</v>
      </c>
      <c r="B89" s="178">
        <v>943062.92379999999</v>
      </c>
      <c r="C89" s="177"/>
      <c r="D89" s="179">
        <v>2017126.2575000001</v>
      </c>
      <c r="E89" s="176">
        <f t="shared" si="105"/>
        <v>1480094.5906500001</v>
      </c>
      <c r="F89" s="177">
        <f t="shared" si="106"/>
        <v>759477.46668309916</v>
      </c>
      <c r="G89" s="177">
        <f t="shared" si="107"/>
        <v>859413.86665090581</v>
      </c>
      <c r="H89" s="135">
        <f t="shared" si="84"/>
        <v>-38860.342716198182</v>
      </c>
      <c r="I89" s="136">
        <f t="shared" si="85"/>
        <v>2999049.5240161987</v>
      </c>
      <c r="J89" s="136" t="str">
        <f t="shared" si="86"/>
        <v/>
      </c>
      <c r="K89" s="136" t="str">
        <f t="shared" si="87"/>
        <v/>
      </c>
      <c r="L89" s="136" t="str">
        <f t="shared" si="88"/>
        <v/>
      </c>
      <c r="M89" s="170"/>
      <c r="N89" s="178">
        <v>662579.13910000003</v>
      </c>
      <c r="O89" s="177"/>
      <c r="P89" s="179">
        <v>1740333.8770000001</v>
      </c>
      <c r="Q89" s="176">
        <f t="shared" si="108"/>
        <v>1201456.5080500001</v>
      </c>
      <c r="R89" s="177">
        <f t="shared" si="109"/>
        <v>762087.68362502009</v>
      </c>
      <c r="S89" s="177">
        <f t="shared" si="110"/>
        <v>862367.55090522754</v>
      </c>
      <c r="T89" s="135">
        <f t="shared" si="89"/>
        <v>-322718.85920004011</v>
      </c>
      <c r="U89" s="135">
        <f t="shared" si="90"/>
        <v>2725631.8753000405</v>
      </c>
      <c r="V89" s="136" t="str">
        <f t="shared" si="91"/>
        <v/>
      </c>
      <c r="W89" s="136" t="str">
        <f t="shared" si="92"/>
        <v/>
      </c>
      <c r="X89" s="138" t="str">
        <f t="shared" si="93"/>
        <v/>
      </c>
      <c r="Y89" s="111"/>
      <c r="Z89" s="106">
        <f t="shared" si="104"/>
        <v>4.216915558440895E-3</v>
      </c>
      <c r="AA89" s="107" t="str">
        <f t="shared" si="111"/>
        <v>YES</v>
      </c>
      <c r="AB89" s="7"/>
    </row>
    <row r="90" spans="1:28" x14ac:dyDescent="0.35">
      <c r="A90" s="37" t="s">
        <v>8</v>
      </c>
      <c r="B90" s="180">
        <v>1607944.395</v>
      </c>
      <c r="C90" s="180">
        <v>1755914.281</v>
      </c>
      <c r="D90" s="182">
        <v>2203181.5079999999</v>
      </c>
      <c r="E90" s="176">
        <f t="shared" ref="E90" si="112">AVERAGE(B90:D90)</f>
        <v>1855680.0613333334</v>
      </c>
      <c r="F90" s="177">
        <f t="shared" ref="F90" si="113">_xlfn.STDEV.S(B90:D90)</f>
        <v>309905.97504288657</v>
      </c>
      <c r="G90" s="177">
        <f t="shared" ref="G90" si="114">_xlfn.CONFIDENCE.NORM(0.05, F90, 3)</f>
        <v>350685.18026349647</v>
      </c>
      <c r="H90" s="135">
        <f t="shared" ref="H90" si="115">E90-2*F90</f>
        <v>1235868.1112475602</v>
      </c>
      <c r="I90" s="136">
        <f t="shared" ref="I90" si="116">E90+2*F90</f>
        <v>2475492.0114191063</v>
      </c>
      <c r="J90" s="142"/>
      <c r="K90" s="142"/>
      <c r="L90" s="142"/>
      <c r="M90" s="184"/>
      <c r="N90" s="180">
        <v>1573983.101</v>
      </c>
      <c r="O90" s="180">
        <v>1653234.649</v>
      </c>
      <c r="P90" s="182">
        <v>2207693.713</v>
      </c>
      <c r="Q90" s="176">
        <f t="shared" ref="Q90" si="117">AVERAGE(N90:P90)</f>
        <v>1811637.1543333333</v>
      </c>
      <c r="R90" s="177">
        <f t="shared" ref="R90" si="118">_xlfn.STDEV.S(N90:P90)</f>
        <v>345276.41131745838</v>
      </c>
      <c r="S90" s="177">
        <f t="shared" ref="S90" si="119">_xlfn.CONFIDENCE.NORM(0.05, R90, 3)</f>
        <v>390709.86135985225</v>
      </c>
      <c r="T90" s="135">
        <f t="shared" ref="T90" si="120">Q90-2*R90</f>
        <v>1121084.3316984165</v>
      </c>
      <c r="U90" s="135">
        <f t="shared" ref="U90" si="121">Q90+2*R90</f>
        <v>2502189.9769682502</v>
      </c>
      <c r="V90" s="142"/>
      <c r="W90" s="142"/>
      <c r="X90" s="144"/>
      <c r="Y90" s="111"/>
      <c r="Z90" s="106">
        <f t="shared" si="104"/>
        <v>0.29525594280660727</v>
      </c>
      <c r="AA90" s="107" t="str">
        <f t="shared" si="111"/>
        <v>NO</v>
      </c>
      <c r="AB90" s="7"/>
    </row>
    <row r="91" spans="1:28" ht="15" thickBot="1" x14ac:dyDescent="0.4">
      <c r="A91" s="29" t="s">
        <v>43</v>
      </c>
      <c r="B91" s="192">
        <v>844312.41859999998</v>
      </c>
      <c r="C91" s="189">
        <v>1128844.5233</v>
      </c>
      <c r="D91" s="193"/>
      <c r="E91" s="188">
        <f t="shared" si="105"/>
        <v>986578.47094999999</v>
      </c>
      <c r="F91" s="189">
        <f t="shared" si="106"/>
        <v>201194.58069865129</v>
      </c>
      <c r="G91" s="189">
        <f t="shared" si="107"/>
        <v>227668.91729203085</v>
      </c>
      <c r="H91" s="146">
        <f t="shared" si="84"/>
        <v>584189.30955269746</v>
      </c>
      <c r="I91" s="149">
        <f t="shared" si="85"/>
        <v>1388967.6323473025</v>
      </c>
      <c r="J91" s="149" t="str">
        <f t="shared" si="86"/>
        <v/>
      </c>
      <c r="K91" s="149" t="str">
        <f t="shared" si="87"/>
        <v/>
      </c>
      <c r="L91" s="149"/>
      <c r="M91" s="190"/>
      <c r="N91" s="185">
        <v>878686.94579999999</v>
      </c>
      <c r="O91" s="186">
        <v>1302693.0353999999</v>
      </c>
      <c r="P91" s="193"/>
      <c r="Q91" s="188">
        <f t="shared" si="108"/>
        <v>1090689.9905999999</v>
      </c>
      <c r="R91" s="189">
        <f t="shared" si="109"/>
        <v>299817.58122055134</v>
      </c>
      <c r="S91" s="189">
        <f t="shared" si="110"/>
        <v>339269.29773439973</v>
      </c>
      <c r="T91" s="146">
        <f t="shared" si="89"/>
        <v>491054.82815889723</v>
      </c>
      <c r="U91" s="146">
        <f t="shared" si="90"/>
        <v>1690325.1530411025</v>
      </c>
      <c r="V91" s="149" t="str">
        <f t="shared" si="91"/>
        <v/>
      </c>
      <c r="W91" s="149" t="str">
        <f t="shared" si="92"/>
        <v/>
      </c>
      <c r="X91" s="147"/>
      <c r="Y91" s="111"/>
      <c r="Z91" s="106">
        <f t="shared" si="104"/>
        <v>0.37572613320289366</v>
      </c>
      <c r="AA91" s="107" t="str">
        <f t="shared" si="111"/>
        <v>NO</v>
      </c>
      <c r="AB91" s="7"/>
    </row>
    <row r="92" spans="1:28" x14ac:dyDescent="0.35">
      <c r="A92" s="30" t="s">
        <v>47</v>
      </c>
      <c r="B92" s="163" t="s">
        <v>38</v>
      </c>
      <c r="C92" s="164"/>
      <c r="D92" s="165"/>
      <c r="E92" s="191"/>
      <c r="F92" s="122"/>
      <c r="G92" s="122"/>
      <c r="H92" s="154"/>
      <c r="I92" s="155"/>
      <c r="J92" s="155"/>
      <c r="K92" s="155"/>
      <c r="L92" s="155"/>
      <c r="M92" s="166"/>
      <c r="N92" s="163" t="s">
        <v>39</v>
      </c>
      <c r="O92" s="164"/>
      <c r="P92" s="165"/>
      <c r="Q92" s="191"/>
      <c r="R92" s="122"/>
      <c r="S92" s="122"/>
      <c r="T92" s="154"/>
      <c r="U92" s="154"/>
      <c r="V92" s="155"/>
      <c r="W92" s="155" t="str">
        <f t="shared" si="92"/>
        <v/>
      </c>
      <c r="X92" s="157" t="str">
        <f t="shared" si="93"/>
        <v/>
      </c>
      <c r="Y92" s="111"/>
      <c r="Z92" s="106"/>
      <c r="AA92" s="107"/>
      <c r="AB92" s="7"/>
    </row>
    <row r="93" spans="1:28" ht="15" thickBot="1" x14ac:dyDescent="0.4">
      <c r="A93" s="31" t="s">
        <v>48</v>
      </c>
      <c r="B93" s="167" t="s">
        <v>50</v>
      </c>
      <c r="C93" s="168"/>
      <c r="D93" s="169"/>
      <c r="E93" s="161"/>
      <c r="F93" s="107"/>
      <c r="G93" s="107"/>
      <c r="H93" s="135"/>
      <c r="I93" s="136"/>
      <c r="J93" s="136"/>
      <c r="K93" s="136"/>
      <c r="L93" s="136"/>
      <c r="M93" s="170"/>
      <c r="N93" s="167" t="s">
        <v>50</v>
      </c>
      <c r="O93" s="168"/>
      <c r="P93" s="169"/>
      <c r="Q93" s="161"/>
      <c r="R93" s="107"/>
      <c r="S93" s="107"/>
      <c r="T93" s="135"/>
      <c r="U93" s="135"/>
      <c r="V93" s="136"/>
      <c r="W93" s="136" t="str">
        <f t="shared" si="92"/>
        <v/>
      </c>
      <c r="X93" s="138" t="str">
        <f t="shared" si="93"/>
        <v/>
      </c>
      <c r="Y93" s="111"/>
      <c r="Z93" s="106"/>
      <c r="AA93" s="107"/>
      <c r="AB93" s="7"/>
    </row>
    <row r="94" spans="1:28" ht="15" thickBot="1" x14ac:dyDescent="0.4">
      <c r="A94" s="28" t="s">
        <v>49</v>
      </c>
      <c r="B94" s="115">
        <v>1</v>
      </c>
      <c r="C94" s="116">
        <v>2</v>
      </c>
      <c r="D94" s="114">
        <v>3</v>
      </c>
      <c r="E94" s="161" t="s">
        <v>30</v>
      </c>
      <c r="F94" s="107" t="s">
        <v>31</v>
      </c>
      <c r="G94" s="107" t="s">
        <v>51</v>
      </c>
      <c r="H94" s="107" t="s">
        <v>52</v>
      </c>
      <c r="I94" s="107" t="s">
        <v>53</v>
      </c>
      <c r="J94" s="107" t="s">
        <v>54</v>
      </c>
      <c r="K94" s="107" t="s">
        <v>55</v>
      </c>
      <c r="L94" s="107" t="s">
        <v>56</v>
      </c>
      <c r="M94" s="162" t="s">
        <v>57</v>
      </c>
      <c r="N94" s="115">
        <v>1</v>
      </c>
      <c r="O94" s="116">
        <v>2</v>
      </c>
      <c r="P94" s="114">
        <v>3</v>
      </c>
      <c r="Q94" s="161" t="s">
        <v>30</v>
      </c>
      <c r="R94" s="107" t="s">
        <v>31</v>
      </c>
      <c r="S94" s="107" t="s">
        <v>51</v>
      </c>
      <c r="T94" s="107" t="s">
        <v>52</v>
      </c>
      <c r="U94" s="107" t="s">
        <v>53</v>
      </c>
      <c r="V94" s="107" t="s">
        <v>54</v>
      </c>
      <c r="W94" s="107" t="s">
        <v>55</v>
      </c>
      <c r="X94" s="107" t="s">
        <v>56</v>
      </c>
      <c r="Y94" s="111"/>
      <c r="Z94" s="106"/>
      <c r="AA94" s="107"/>
      <c r="AB94" s="7"/>
    </row>
    <row r="95" spans="1:28" x14ac:dyDescent="0.35">
      <c r="A95" s="28" t="s">
        <v>2</v>
      </c>
      <c r="B95" s="139">
        <f>AVERAGE('Raw results fibers'!T4:T9)</f>
        <v>19.876666666666669</v>
      </c>
      <c r="C95" s="135">
        <f>AVERAGE('Raw results fibers'!U4:U9)</f>
        <v>21.046666666666667</v>
      </c>
      <c r="D95" s="138">
        <f>AVERAGE('Raw results fibers'!V4:V9)</f>
        <v>20.111666666666665</v>
      </c>
      <c r="E95" s="134">
        <f>AVERAGE(B95:D95)</f>
        <v>20.344999999999999</v>
      </c>
      <c r="F95" s="135">
        <f>_xlfn.STDEV.S(B95:D95)</f>
        <v>0.61891706498797805</v>
      </c>
      <c r="G95" s="135">
        <f>_xlfn.CONFIDENCE.NORM(0.05, F95, 3)</f>
        <v>0.70035772131669072</v>
      </c>
      <c r="H95" s="135">
        <f t="shared" si="84"/>
        <v>19.107165870024044</v>
      </c>
      <c r="I95" s="136">
        <f t="shared" si="85"/>
        <v>21.582834129975954</v>
      </c>
      <c r="J95" s="136" t="str">
        <f t="shared" si="86"/>
        <v/>
      </c>
      <c r="K95" s="136" t="str">
        <f t="shared" si="87"/>
        <v/>
      </c>
      <c r="L95" s="136" t="str">
        <f t="shared" si="88"/>
        <v/>
      </c>
      <c r="M95" s="140"/>
      <c r="N95" s="139">
        <f>AVERAGE('Raw results fibers'!W4:W9)</f>
        <v>20.146666666666668</v>
      </c>
      <c r="O95" s="135">
        <f>AVERAGE('Raw results fibers'!X4:X9)</f>
        <v>21.466666666666665</v>
      </c>
      <c r="P95" s="138">
        <f>AVERAGE('Raw results fibers'!Y4:Y9)</f>
        <v>21.391666666666666</v>
      </c>
      <c r="Q95" s="134">
        <f>AVERAGE(N95:P95)</f>
        <v>21.001666666666665</v>
      </c>
      <c r="R95" s="135">
        <f>_xlfn.STDEV.S(N95:P95)</f>
        <v>0.74140070137544212</v>
      </c>
      <c r="S95" s="135">
        <f>_xlfn.CONFIDENCE.NORM(0.05, R95, 3)</f>
        <v>0.83895845691051818</v>
      </c>
      <c r="T95" s="135">
        <f t="shared" si="89"/>
        <v>19.518865263915782</v>
      </c>
      <c r="U95" s="135">
        <f t="shared" si="90"/>
        <v>22.484468069417549</v>
      </c>
      <c r="V95" s="136" t="str">
        <f t="shared" si="91"/>
        <v/>
      </c>
      <c r="W95" s="136" t="str">
        <f t="shared" si="92"/>
        <v/>
      </c>
      <c r="X95" s="138" t="str">
        <f t="shared" si="93"/>
        <v/>
      </c>
      <c r="Y95" s="194"/>
      <c r="Z95" s="106">
        <f t="shared" ref="Z95:Z104" si="122">_xlfn.T.TEST(B95:D95,N95:P95,2,1)</f>
        <v>0.1721739075918326</v>
      </c>
      <c r="AA95" s="107" t="str">
        <f>IF(Z95&lt;0.05,"YES","NO")</f>
        <v>NO</v>
      </c>
      <c r="AB95" s="7"/>
    </row>
    <row r="96" spans="1:28" x14ac:dyDescent="0.35">
      <c r="A96" s="28" t="s">
        <v>1</v>
      </c>
      <c r="B96" s="139">
        <f>AVERAGE('Raw results fibers'!T10:T15)</f>
        <v>19.583333333333332</v>
      </c>
      <c r="C96" s="135">
        <f>AVERAGE('Raw results fibers'!U10:U15)</f>
        <v>19.771666666666665</v>
      </c>
      <c r="D96" s="138">
        <f>AVERAGE('Raw results fibers'!V10:V15)</f>
        <v>20.696666666666669</v>
      </c>
      <c r="E96" s="134">
        <f t="shared" ref="E96:E104" si="123">AVERAGE(B96:D96)</f>
        <v>20.01722222222222</v>
      </c>
      <c r="F96" s="135">
        <f t="shared" ref="F96:F104" si="124">_xlfn.STDEV.S(B96:D96)</f>
        <v>0.59590345352743879</v>
      </c>
      <c r="G96" s="135">
        <f t="shared" ref="G96:G104" si="125">_xlfn.CONFIDENCE.NORM(0.05, F96, 3)</f>
        <v>0.67431584689837265</v>
      </c>
      <c r="H96" s="135">
        <f t="shared" si="84"/>
        <v>18.825415315167341</v>
      </c>
      <c r="I96" s="136">
        <f t="shared" si="85"/>
        <v>21.209029129277098</v>
      </c>
      <c r="J96" s="136" t="str">
        <f t="shared" si="86"/>
        <v/>
      </c>
      <c r="K96" s="136" t="str">
        <f t="shared" si="87"/>
        <v/>
      </c>
      <c r="L96" s="136" t="str">
        <f t="shared" si="88"/>
        <v/>
      </c>
      <c r="M96" s="140" t="s">
        <v>59</v>
      </c>
      <c r="N96" s="139">
        <f>AVERAGE('Raw results fibers'!W10:W15)</f>
        <v>18.090000000000003</v>
      </c>
      <c r="O96" s="135">
        <f>AVERAGE('Raw results fibers'!X10:X15)</f>
        <v>21.361666666666668</v>
      </c>
      <c r="P96" s="138">
        <f>AVERAGE('Raw results fibers'!Y10:Y15)</f>
        <v>20.329999999999998</v>
      </c>
      <c r="Q96" s="134">
        <f t="shared" ref="Q96:Q104" si="126">AVERAGE(N96:P96)</f>
        <v>19.927222222222223</v>
      </c>
      <c r="R96" s="135">
        <f t="shared" ref="R96:R104" si="127">_xlfn.STDEV.S(N96:P96)</f>
        <v>1.6726096819485841</v>
      </c>
      <c r="S96" s="135">
        <f t="shared" ref="S96:S104" si="128">_xlfn.CONFIDENCE.NORM(0.05, R96, 3)</f>
        <v>1.8927012547707003</v>
      </c>
      <c r="T96" s="135">
        <f t="shared" si="89"/>
        <v>16.582002858325055</v>
      </c>
      <c r="U96" s="135">
        <f t="shared" si="90"/>
        <v>23.272441586119392</v>
      </c>
      <c r="V96" s="136" t="str">
        <f t="shared" si="91"/>
        <v/>
      </c>
      <c r="W96" s="136" t="str">
        <f t="shared" si="92"/>
        <v/>
      </c>
      <c r="X96" s="138" t="str">
        <f t="shared" si="93"/>
        <v/>
      </c>
      <c r="Y96" s="194"/>
      <c r="Z96" s="106">
        <f t="shared" si="122"/>
        <v>0.9295252125943243</v>
      </c>
      <c r="AA96" s="107" t="str">
        <f t="shared" ref="AA96:AA104" si="129">IF(Z96&lt;0.05,"YES","NO")</f>
        <v>NO</v>
      </c>
      <c r="AB96" s="7"/>
    </row>
    <row r="97" spans="1:28" x14ac:dyDescent="0.35">
      <c r="A97" s="28" t="s">
        <v>3</v>
      </c>
      <c r="B97" s="139">
        <f>AVERAGE('Raw results fibers'!T16:T21)</f>
        <v>20.813333333333333</v>
      </c>
      <c r="C97" s="135">
        <f>AVERAGE('Raw results fibers'!U16:U21)</f>
        <v>20.793333333333333</v>
      </c>
      <c r="D97" s="138">
        <f>AVERAGE('Raw results fibers'!V16:V21)</f>
        <v>18.878333333333334</v>
      </c>
      <c r="E97" s="134">
        <f t="shared" si="123"/>
        <v>20.161666666666665</v>
      </c>
      <c r="F97" s="135">
        <f t="shared" si="124"/>
        <v>1.1114442556121886</v>
      </c>
      <c r="G97" s="135">
        <f t="shared" si="125"/>
        <v>1.2576944638716625</v>
      </c>
      <c r="H97" s="135">
        <f t="shared" si="84"/>
        <v>17.938778155442289</v>
      </c>
      <c r="I97" s="136">
        <f t="shared" si="85"/>
        <v>22.384555177891041</v>
      </c>
      <c r="J97" s="136" t="str">
        <f t="shared" si="86"/>
        <v/>
      </c>
      <c r="K97" s="136" t="str">
        <f t="shared" si="87"/>
        <v/>
      </c>
      <c r="L97" s="136" t="str">
        <f t="shared" si="88"/>
        <v/>
      </c>
      <c r="M97" s="140"/>
      <c r="N97" s="139">
        <f>AVERAGE('Raw results fibers'!W16:W21)</f>
        <v>19.953333333333333</v>
      </c>
      <c r="O97" s="135">
        <f>AVERAGE('Raw results fibers'!X16:X21)</f>
        <v>19.580000000000002</v>
      </c>
      <c r="P97" s="138">
        <f>AVERAGE('Raw results fibers'!Y16:Y21)</f>
        <v>19.34</v>
      </c>
      <c r="Q97" s="134">
        <f t="shared" si="126"/>
        <v>19.624444444444446</v>
      </c>
      <c r="R97" s="135">
        <f t="shared" si="127"/>
        <v>0.30907268712379909</v>
      </c>
      <c r="S97" s="135">
        <f t="shared" si="128"/>
        <v>0.34974224354187911</v>
      </c>
      <c r="T97" s="135">
        <f t="shared" si="89"/>
        <v>19.006299070196849</v>
      </c>
      <c r="U97" s="135">
        <f t="shared" si="90"/>
        <v>20.242589818692043</v>
      </c>
      <c r="V97" s="136" t="str">
        <f t="shared" si="91"/>
        <v/>
      </c>
      <c r="W97" s="136" t="str">
        <f t="shared" si="92"/>
        <v/>
      </c>
      <c r="X97" s="138" t="str">
        <f t="shared" si="93"/>
        <v/>
      </c>
      <c r="Y97" s="194"/>
      <c r="Z97" s="106">
        <f t="shared" si="122"/>
        <v>0.40246075248020552</v>
      </c>
      <c r="AA97" s="107" t="str">
        <f t="shared" si="129"/>
        <v>NO</v>
      </c>
      <c r="AB97" s="7"/>
    </row>
    <row r="98" spans="1:28" x14ac:dyDescent="0.35">
      <c r="A98" s="28" t="s">
        <v>0</v>
      </c>
      <c r="B98" s="139">
        <f>AVERAGE('Raw results fibers'!T22:T27)</f>
        <v>21.679999999999996</v>
      </c>
      <c r="C98" s="135">
        <f>AVERAGE('Raw results fibers'!U22:U27)</f>
        <v>19.684999999999999</v>
      </c>
      <c r="D98" s="138">
        <f>AVERAGE('Raw results fibers'!V22:V27)</f>
        <v>21.056666666666668</v>
      </c>
      <c r="E98" s="134">
        <f t="shared" si="123"/>
        <v>20.807222222222222</v>
      </c>
      <c r="F98" s="135">
        <f t="shared" si="124"/>
        <v>1.0206239014191989</v>
      </c>
      <c r="G98" s="135">
        <f t="shared" si="125"/>
        <v>1.1549234467031302</v>
      </c>
      <c r="H98" s="135">
        <f t="shared" si="84"/>
        <v>18.765974419383824</v>
      </c>
      <c r="I98" s="136">
        <f t="shared" si="85"/>
        <v>22.848470025060621</v>
      </c>
      <c r="J98" s="136" t="str">
        <f t="shared" si="86"/>
        <v/>
      </c>
      <c r="K98" s="136" t="str">
        <f t="shared" si="87"/>
        <v/>
      </c>
      <c r="L98" s="136" t="str">
        <f t="shared" si="88"/>
        <v/>
      </c>
      <c r="M98" s="140"/>
      <c r="N98" s="139">
        <f>AVERAGE('Raw results fibers'!W22:W27)</f>
        <v>19.566666666666666</v>
      </c>
      <c r="O98" s="135">
        <f>AVERAGE('Raw results fibers'!X22:X27)</f>
        <v>20.3</v>
      </c>
      <c r="P98" s="138">
        <f>AVERAGE('Raw results fibers'!Y22:Y27)</f>
        <v>19.765000000000001</v>
      </c>
      <c r="Q98" s="134">
        <f t="shared" si="126"/>
        <v>19.877222222222223</v>
      </c>
      <c r="R98" s="135">
        <f t="shared" si="127"/>
        <v>0.37932810970822495</v>
      </c>
      <c r="S98" s="135">
        <f t="shared" si="128"/>
        <v>0.42924227747990823</v>
      </c>
      <c r="T98" s="135">
        <f t="shared" si="89"/>
        <v>19.118566002805771</v>
      </c>
      <c r="U98" s="135">
        <f t="shared" si="90"/>
        <v>20.635878441638674</v>
      </c>
      <c r="V98" s="136" t="str">
        <f t="shared" si="91"/>
        <v/>
      </c>
      <c r="W98" s="136" t="str">
        <f t="shared" si="92"/>
        <v/>
      </c>
      <c r="X98" s="138" t="str">
        <f t="shared" si="93"/>
        <v/>
      </c>
      <c r="Y98" s="194"/>
      <c r="Z98" s="106">
        <f t="shared" si="122"/>
        <v>0.36881085730372676</v>
      </c>
      <c r="AA98" s="107" t="str">
        <f t="shared" si="129"/>
        <v>NO</v>
      </c>
      <c r="AB98" s="7"/>
    </row>
    <row r="99" spans="1:28" x14ac:dyDescent="0.35">
      <c r="A99" s="28" t="s">
        <v>4</v>
      </c>
      <c r="B99" s="139">
        <f>AVERAGE('Raw results fibers'!T28:T33)</f>
        <v>21.109999999999996</v>
      </c>
      <c r="C99" s="135">
        <f>AVERAGE('Raw results fibers'!U28:U33)</f>
        <v>19.515000000000001</v>
      </c>
      <c r="D99" s="138">
        <f>AVERAGE('Raw results fibers'!V28:V33)</f>
        <v>19.858333333333334</v>
      </c>
      <c r="E99" s="134">
        <f t="shared" si="123"/>
        <v>20.161111111111111</v>
      </c>
      <c r="F99" s="135">
        <f t="shared" si="124"/>
        <v>0.83950106434538396</v>
      </c>
      <c r="G99" s="135">
        <f t="shared" si="125"/>
        <v>0.94996742815499868</v>
      </c>
      <c r="H99" s="135">
        <f t="shared" si="84"/>
        <v>18.482108982420343</v>
      </c>
      <c r="I99" s="136">
        <f t="shared" si="85"/>
        <v>21.84011323980188</v>
      </c>
      <c r="J99" s="136" t="str">
        <f t="shared" si="86"/>
        <v/>
      </c>
      <c r="K99" s="136" t="str">
        <f t="shared" si="87"/>
        <v/>
      </c>
      <c r="L99" s="136" t="str">
        <f t="shared" si="88"/>
        <v/>
      </c>
      <c r="M99" s="140"/>
      <c r="N99" s="139">
        <f>AVERAGE('Raw results fibers'!W28:W33)</f>
        <v>19.968333333333334</v>
      </c>
      <c r="O99" s="135">
        <f>AVERAGE('Raw results fibers'!X28:X33)</f>
        <v>19.16</v>
      </c>
      <c r="P99" s="138">
        <f>AVERAGE('Raw results fibers'!Y28:Y33)</f>
        <v>19.456666666666667</v>
      </c>
      <c r="Q99" s="134">
        <f t="shared" si="126"/>
        <v>19.528333333333332</v>
      </c>
      <c r="R99" s="135">
        <f t="shared" si="127"/>
        <v>0.40890436262991608</v>
      </c>
      <c r="S99" s="135">
        <f t="shared" si="128"/>
        <v>0.46271034335352262</v>
      </c>
      <c r="T99" s="135">
        <f t="shared" si="89"/>
        <v>18.710524608073499</v>
      </c>
      <c r="U99" s="135">
        <f t="shared" si="90"/>
        <v>20.346142058593166</v>
      </c>
      <c r="V99" s="136" t="str">
        <f t="shared" si="91"/>
        <v/>
      </c>
      <c r="W99" s="136" t="str">
        <f t="shared" si="92"/>
        <v/>
      </c>
      <c r="X99" s="138" t="str">
        <f t="shared" si="93"/>
        <v/>
      </c>
      <c r="Y99" s="194"/>
      <c r="Z99" s="106">
        <f t="shared" si="122"/>
        <v>0.1310215939024586</v>
      </c>
      <c r="AA99" s="107" t="str">
        <f t="shared" si="129"/>
        <v>NO</v>
      </c>
      <c r="AB99" s="7"/>
    </row>
    <row r="100" spans="1:28" x14ac:dyDescent="0.35">
      <c r="A100" s="28" t="s">
        <v>5</v>
      </c>
      <c r="B100" s="139">
        <f>AVERAGE('Raw results fibers'!T34:T39)</f>
        <v>19.648333333333333</v>
      </c>
      <c r="C100" s="135">
        <f>AVERAGE('Raw results fibers'!U34:U39)</f>
        <v>20.62</v>
      </c>
      <c r="D100" s="138">
        <f>AVERAGE('Raw results fibers'!V34:V39)</f>
        <v>20.883333333333333</v>
      </c>
      <c r="E100" s="134">
        <f t="shared" si="123"/>
        <v>20.383888888888887</v>
      </c>
      <c r="F100" s="135">
        <f t="shared" si="124"/>
        <v>0.65047489774209777</v>
      </c>
      <c r="G100" s="135">
        <f t="shared" si="125"/>
        <v>0.7360681146596143</v>
      </c>
      <c r="H100" s="135">
        <f t="shared" si="84"/>
        <v>19.08293909340469</v>
      </c>
      <c r="I100" s="136">
        <f t="shared" si="85"/>
        <v>21.684838684373084</v>
      </c>
      <c r="J100" s="136" t="str">
        <f t="shared" si="86"/>
        <v/>
      </c>
      <c r="K100" s="136" t="str">
        <f t="shared" si="87"/>
        <v/>
      </c>
      <c r="L100" s="136" t="str">
        <f t="shared" si="88"/>
        <v/>
      </c>
      <c r="M100" s="140" t="s">
        <v>59</v>
      </c>
      <c r="N100" s="139">
        <f>AVERAGE('Raw results fibers'!W34:W39)</f>
        <v>19.938333333333336</v>
      </c>
      <c r="O100" s="135">
        <f>AVERAGE('Raw results fibers'!X34:X39)</f>
        <v>20.66</v>
      </c>
      <c r="P100" s="138">
        <f>AVERAGE('Raw results fibers'!Y34:Y39)</f>
        <v>19.348333333333333</v>
      </c>
      <c r="Q100" s="134">
        <f t="shared" si="126"/>
        <v>19.982222222222223</v>
      </c>
      <c r="R100" s="135">
        <f t="shared" si="127"/>
        <v>0.65693381480712143</v>
      </c>
      <c r="S100" s="135">
        <f t="shared" si="128"/>
        <v>0.74337693306797625</v>
      </c>
      <c r="T100" s="135">
        <f t="shared" si="89"/>
        <v>18.668354592607979</v>
      </c>
      <c r="U100" s="135">
        <f t="shared" si="90"/>
        <v>21.296089851836467</v>
      </c>
      <c r="V100" s="136" t="str">
        <f t="shared" si="91"/>
        <v/>
      </c>
      <c r="W100" s="136" t="str">
        <f t="shared" si="92"/>
        <v/>
      </c>
      <c r="X100" s="138" t="str">
        <f t="shared" si="93"/>
        <v/>
      </c>
      <c r="Y100" s="194"/>
      <c r="Z100" s="106">
        <f t="shared" si="122"/>
        <v>0.55479476849252396</v>
      </c>
      <c r="AA100" s="107" t="str">
        <f t="shared" si="129"/>
        <v>NO</v>
      </c>
      <c r="AB100" s="7"/>
    </row>
    <row r="101" spans="1:28" x14ac:dyDescent="0.35">
      <c r="A101" s="28" t="s">
        <v>6</v>
      </c>
      <c r="B101" s="139">
        <f>AVERAGE('Raw results fibers'!T40:T45)</f>
        <v>21.481666666666666</v>
      </c>
      <c r="C101" s="135">
        <f>AVERAGE('Raw results fibers'!U40:U45)</f>
        <v>20.246666666666666</v>
      </c>
      <c r="D101" s="138">
        <f>AVERAGE('Raw results fibers'!V40:V45)</f>
        <v>20.239999999999998</v>
      </c>
      <c r="E101" s="134">
        <f t="shared" si="123"/>
        <v>20.656111111111112</v>
      </c>
      <c r="F101" s="135">
        <f t="shared" si="124"/>
        <v>0.71495985383278171</v>
      </c>
      <c r="G101" s="135">
        <f t="shared" si="125"/>
        <v>0.8090383710343606</v>
      </c>
      <c r="H101" s="135">
        <f t="shared" si="84"/>
        <v>19.226191403445547</v>
      </c>
      <c r="I101" s="136">
        <f t="shared" si="85"/>
        <v>22.086030818776678</v>
      </c>
      <c r="J101" s="136" t="str">
        <f t="shared" si="86"/>
        <v/>
      </c>
      <c r="K101" s="136" t="str">
        <f t="shared" si="87"/>
        <v/>
      </c>
      <c r="L101" s="136" t="str">
        <f t="shared" si="88"/>
        <v/>
      </c>
      <c r="M101" s="140"/>
      <c r="N101" s="139">
        <f>AVERAGE('Raw results fibers'!W40:W45)</f>
        <v>20.373333333333335</v>
      </c>
      <c r="O101" s="135">
        <f>AVERAGE('Raw results fibers'!X40:X45)</f>
        <v>20.155000000000001</v>
      </c>
      <c r="P101" s="138">
        <f>AVERAGE('Raw results fibers'!Y40:Y45)</f>
        <v>20.048333333333336</v>
      </c>
      <c r="Q101" s="134">
        <f t="shared" si="126"/>
        <v>20.192222222222224</v>
      </c>
      <c r="R101" s="135">
        <f t="shared" si="127"/>
        <v>0.1656664431029117</v>
      </c>
      <c r="S101" s="135">
        <f t="shared" si="128"/>
        <v>0.18746578363039665</v>
      </c>
      <c r="T101" s="135">
        <f t="shared" si="89"/>
        <v>19.860889336016399</v>
      </c>
      <c r="U101" s="135">
        <f t="shared" si="90"/>
        <v>20.523555108428049</v>
      </c>
      <c r="V101" s="136" t="str">
        <f t="shared" si="91"/>
        <v/>
      </c>
      <c r="W101" s="136" t="str">
        <f t="shared" si="92"/>
        <v/>
      </c>
      <c r="X101" s="138" t="str">
        <f t="shared" si="93"/>
        <v/>
      </c>
      <c r="Y101" s="194"/>
      <c r="Z101" s="106">
        <f t="shared" si="122"/>
        <v>0.2880196322005687</v>
      </c>
      <c r="AA101" s="107" t="str">
        <f t="shared" si="129"/>
        <v>NO</v>
      </c>
      <c r="AB101" s="7"/>
    </row>
    <row r="102" spans="1:28" x14ac:dyDescent="0.35">
      <c r="A102" s="28" t="s">
        <v>42</v>
      </c>
      <c r="B102" s="139">
        <f>AVERAGE('Raw results fibers'!T46:T51)</f>
        <v>16.878333333333334</v>
      </c>
      <c r="C102" s="135">
        <f>AVERAGE('Raw results fibers'!U46:U51)</f>
        <v>18.071666666666665</v>
      </c>
      <c r="D102" s="138">
        <f>AVERAGE('Raw results fibers'!V46:V51)</f>
        <v>17.521666666666665</v>
      </c>
      <c r="E102" s="134">
        <f t="shared" si="123"/>
        <v>17.490555555555556</v>
      </c>
      <c r="F102" s="135">
        <f t="shared" si="124"/>
        <v>0.5972746746992007</v>
      </c>
      <c r="G102" s="135">
        <f t="shared" si="125"/>
        <v>0.6758675012146016</v>
      </c>
      <c r="H102" s="135">
        <f t="shared" si="84"/>
        <v>16.296006206157156</v>
      </c>
      <c r="I102" s="136">
        <f t="shared" si="85"/>
        <v>18.685104904953956</v>
      </c>
      <c r="J102" s="136" t="str">
        <f t="shared" si="86"/>
        <v/>
      </c>
      <c r="K102" s="136" t="str">
        <f t="shared" si="87"/>
        <v/>
      </c>
      <c r="L102" s="136" t="str">
        <f t="shared" si="88"/>
        <v/>
      </c>
      <c r="M102" s="140"/>
      <c r="N102" s="139">
        <f>AVERAGE('Raw results fibers'!W46:W51)</f>
        <v>15.091666666666669</v>
      </c>
      <c r="O102" s="135">
        <f>AVERAGE('Raw results fibers'!X46:X51)</f>
        <v>14.635</v>
      </c>
      <c r="P102" s="138">
        <f>AVERAGE('Raw results fibers'!Y46:Y51)</f>
        <v>15.9</v>
      </c>
      <c r="Q102" s="134">
        <f t="shared" si="126"/>
        <v>15.208888888888888</v>
      </c>
      <c r="R102" s="135">
        <f t="shared" si="127"/>
        <v>0.64059506479291362</v>
      </c>
      <c r="S102" s="135">
        <f t="shared" si="128"/>
        <v>0.72488823663926183</v>
      </c>
      <c r="T102" s="135">
        <f t="shared" si="89"/>
        <v>13.927698759303061</v>
      </c>
      <c r="U102" s="135">
        <f t="shared" si="90"/>
        <v>16.490079018474717</v>
      </c>
      <c r="V102" s="136" t="str">
        <f t="shared" si="91"/>
        <v/>
      </c>
      <c r="W102" s="136" t="str">
        <f t="shared" si="92"/>
        <v/>
      </c>
      <c r="X102" s="138" t="str">
        <f t="shared" si="93"/>
        <v/>
      </c>
      <c r="Y102" s="194"/>
      <c r="Z102" s="106">
        <f t="shared" si="122"/>
        <v>5.8860656794607169E-2</v>
      </c>
      <c r="AA102" s="107" t="str">
        <f t="shared" si="129"/>
        <v>NO</v>
      </c>
      <c r="AB102" s="7"/>
    </row>
    <row r="103" spans="1:28" x14ac:dyDescent="0.35">
      <c r="A103" s="37" t="s">
        <v>8</v>
      </c>
      <c r="B103" s="141">
        <v>2124266.6009999998</v>
      </c>
      <c r="C103" s="171">
        <v>2884932.1430000002</v>
      </c>
      <c r="D103" s="144">
        <v>1637686.5959999999</v>
      </c>
      <c r="E103" s="134">
        <f t="shared" ref="E103" si="130">AVERAGE(B103:D103)</f>
        <v>2215628.4466666668</v>
      </c>
      <c r="F103" s="135">
        <f t="shared" ref="F103" si="131">_xlfn.STDEV.S(B103:D103)</f>
        <v>628621.9879709481</v>
      </c>
      <c r="G103" s="135">
        <f t="shared" ref="G103" si="132">_xlfn.CONFIDENCE.NORM(0.05, F103, 3)</f>
        <v>711339.67371452751</v>
      </c>
      <c r="H103" s="135">
        <f t="shared" ref="H103" si="133">E103-2*F103</f>
        <v>958384.47072477057</v>
      </c>
      <c r="I103" s="136">
        <f t="shared" ref="I103" si="134">E103+2*F103</f>
        <v>3472872.4226085627</v>
      </c>
      <c r="J103" s="142"/>
      <c r="K103" s="142"/>
      <c r="L103" s="142"/>
      <c r="M103" s="143"/>
      <c r="N103" s="141">
        <v>2589947.1469999999</v>
      </c>
      <c r="O103" s="171">
        <v>3178615.0550000002</v>
      </c>
      <c r="P103" s="144">
        <v>1697498.2690000001</v>
      </c>
      <c r="Q103" s="134">
        <f t="shared" ref="Q103" si="135">AVERAGE(N103:P103)</f>
        <v>2488686.8236666666</v>
      </c>
      <c r="R103" s="135">
        <f t="shared" ref="R103" si="136">_xlfn.STDEV.S(N103:P103)</f>
        <v>745732.50784307497</v>
      </c>
      <c r="S103" s="135">
        <f t="shared" ref="S103" si="137">_xlfn.CONFIDENCE.NORM(0.05, R103, 3)</f>
        <v>843860.26731207035</v>
      </c>
      <c r="T103" s="135">
        <f t="shared" ref="T103" si="138">Q103-2*R103</f>
        <v>997221.80798051669</v>
      </c>
      <c r="U103" s="135">
        <f t="shared" ref="U103" si="139">Q103+2*R103</f>
        <v>3980151.8393528163</v>
      </c>
      <c r="V103" s="142"/>
      <c r="W103" s="142"/>
      <c r="X103" s="144"/>
      <c r="Y103" s="194"/>
      <c r="Z103" s="106">
        <f t="shared" si="122"/>
        <v>0.14597705565446972</v>
      </c>
      <c r="AA103" s="107" t="str">
        <f t="shared" si="129"/>
        <v>NO</v>
      </c>
      <c r="AB103" s="7"/>
    </row>
    <row r="104" spans="1:28" ht="15" thickBot="1" x14ac:dyDescent="0.4">
      <c r="A104" s="29" t="s">
        <v>43</v>
      </c>
      <c r="B104" s="145">
        <f>AVERAGE('Raw results fibers'!T52:T57)</f>
        <v>20.195</v>
      </c>
      <c r="C104" s="146">
        <f>AVERAGE('Raw results fibers'!U52:U57)</f>
        <v>18.73</v>
      </c>
      <c r="D104" s="147">
        <f>AVERAGE('Raw results fibers'!V52:V57)</f>
        <v>20.128333333333334</v>
      </c>
      <c r="E104" s="148">
        <f t="shared" si="123"/>
        <v>19.684444444444441</v>
      </c>
      <c r="F104" s="146">
        <f t="shared" si="124"/>
        <v>0.82724498140469804</v>
      </c>
      <c r="G104" s="146">
        <f t="shared" si="125"/>
        <v>0.93609861954366402</v>
      </c>
      <c r="H104" s="146">
        <f t="shared" si="84"/>
        <v>18.029954481635045</v>
      </c>
      <c r="I104" s="149">
        <f t="shared" si="85"/>
        <v>21.338934407253838</v>
      </c>
      <c r="J104" s="149" t="str">
        <f t="shared" si="86"/>
        <v/>
      </c>
      <c r="K104" s="149" t="str">
        <f t="shared" si="87"/>
        <v/>
      </c>
      <c r="L104" s="149" t="str">
        <f t="shared" si="88"/>
        <v/>
      </c>
      <c r="M104" s="150"/>
      <c r="N104" s="145">
        <f>AVERAGE('Raw results fibers'!W52:W57)</f>
        <v>19.896666666666665</v>
      </c>
      <c r="O104" s="146">
        <f>AVERAGE('Raw results fibers'!X52:X57)</f>
        <v>19.676666666666666</v>
      </c>
      <c r="P104" s="147">
        <f>AVERAGE('Raw results fibers'!Y52:Y57)</f>
        <v>19.771666666666665</v>
      </c>
      <c r="Q104" s="148">
        <f t="shared" si="126"/>
        <v>19.781666666666666</v>
      </c>
      <c r="R104" s="146">
        <f t="shared" si="127"/>
        <v>0.11034038245356902</v>
      </c>
      <c r="S104" s="146">
        <f t="shared" si="128"/>
        <v>0.1248596026769674</v>
      </c>
      <c r="T104" s="146">
        <f t="shared" si="89"/>
        <v>19.56098590175953</v>
      </c>
      <c r="U104" s="146">
        <f t="shared" si="90"/>
        <v>20.002347431573803</v>
      </c>
      <c r="V104" s="149" t="str">
        <f t="shared" si="91"/>
        <v/>
      </c>
      <c r="W104" s="149" t="str">
        <f t="shared" si="92"/>
        <v/>
      </c>
      <c r="X104" s="147" t="str">
        <f t="shared" si="93"/>
        <v/>
      </c>
      <c r="Y104" s="194"/>
      <c r="Z104" s="106">
        <f t="shared" si="122"/>
        <v>0.84033956522637876</v>
      </c>
      <c r="AA104" s="107" t="str">
        <f t="shared" si="129"/>
        <v>NO</v>
      </c>
      <c r="AB104" s="7"/>
    </row>
    <row r="105" spans="1:28" x14ac:dyDescent="0.35">
      <c r="A105" s="30" t="s">
        <v>47</v>
      </c>
      <c r="B105" s="163" t="s">
        <v>119</v>
      </c>
      <c r="C105" s="164"/>
      <c r="D105" s="165"/>
      <c r="E105" s="191"/>
      <c r="F105" s="122"/>
      <c r="G105" s="122"/>
      <c r="H105" s="154"/>
      <c r="I105" s="155"/>
      <c r="J105" s="155"/>
      <c r="K105" s="155"/>
      <c r="L105" s="155"/>
      <c r="M105" s="166"/>
      <c r="N105" s="163" t="s">
        <v>124</v>
      </c>
      <c r="O105" s="164"/>
      <c r="P105" s="165"/>
      <c r="Q105" s="191"/>
      <c r="R105" s="122"/>
      <c r="S105" s="122"/>
      <c r="T105" s="154"/>
      <c r="U105" s="154"/>
      <c r="V105" s="155"/>
      <c r="W105" s="155" t="str">
        <f t="shared" si="92"/>
        <v/>
      </c>
      <c r="X105" s="157" t="str">
        <f t="shared" si="93"/>
        <v/>
      </c>
      <c r="Y105" s="111"/>
      <c r="Z105" s="106"/>
      <c r="AA105" s="107"/>
      <c r="AB105" s="7"/>
    </row>
    <row r="106" spans="1:28" ht="17" thickBot="1" x14ac:dyDescent="0.4">
      <c r="A106" s="31" t="s">
        <v>48</v>
      </c>
      <c r="B106" s="167" t="s">
        <v>149</v>
      </c>
      <c r="C106" s="168"/>
      <c r="D106" s="169"/>
      <c r="E106" s="161"/>
      <c r="F106" s="107"/>
      <c r="G106" s="107"/>
      <c r="H106" s="135"/>
      <c r="I106" s="136"/>
      <c r="J106" s="136"/>
      <c r="K106" s="136"/>
      <c r="L106" s="136"/>
      <c r="M106" s="170"/>
      <c r="N106" s="167" t="s">
        <v>148</v>
      </c>
      <c r="O106" s="168"/>
      <c r="P106" s="169"/>
      <c r="Q106" s="161"/>
      <c r="R106" s="107"/>
      <c r="S106" s="107"/>
      <c r="T106" s="135"/>
      <c r="U106" s="135"/>
      <c r="V106" s="136"/>
      <c r="W106" s="136" t="str">
        <f t="shared" si="92"/>
        <v/>
      </c>
      <c r="X106" s="138" t="str">
        <f t="shared" si="93"/>
        <v/>
      </c>
      <c r="Y106" s="111"/>
      <c r="Z106" s="106"/>
      <c r="AA106" s="107"/>
      <c r="AB106" s="7"/>
    </row>
    <row r="107" spans="1:28" ht="15" thickBot="1" x14ac:dyDescent="0.4">
      <c r="A107" s="28" t="s">
        <v>49</v>
      </c>
      <c r="B107" s="115">
        <v>1</v>
      </c>
      <c r="C107" s="116">
        <v>2</v>
      </c>
      <c r="D107" s="114">
        <v>3</v>
      </c>
      <c r="E107" s="161" t="s">
        <v>30</v>
      </c>
      <c r="F107" s="107" t="s">
        <v>31</v>
      </c>
      <c r="G107" s="107" t="s">
        <v>51</v>
      </c>
      <c r="H107" s="107" t="s">
        <v>52</v>
      </c>
      <c r="I107" s="107" t="s">
        <v>53</v>
      </c>
      <c r="J107" s="107" t="s">
        <v>54</v>
      </c>
      <c r="K107" s="107" t="s">
        <v>55</v>
      </c>
      <c r="L107" s="107" t="s">
        <v>56</v>
      </c>
      <c r="M107" s="162" t="s">
        <v>57</v>
      </c>
      <c r="N107" s="115">
        <v>1</v>
      </c>
      <c r="O107" s="116">
        <v>2</v>
      </c>
      <c r="P107" s="114">
        <v>3</v>
      </c>
      <c r="Q107" s="161" t="s">
        <v>30</v>
      </c>
      <c r="R107" s="107" t="s">
        <v>31</v>
      </c>
      <c r="S107" s="107" t="s">
        <v>51</v>
      </c>
      <c r="T107" s="107" t="s">
        <v>52</v>
      </c>
      <c r="U107" s="107" t="s">
        <v>53</v>
      </c>
      <c r="V107" s="107" t="s">
        <v>54</v>
      </c>
      <c r="W107" s="107" t="s">
        <v>55</v>
      </c>
      <c r="X107" s="107" t="s">
        <v>56</v>
      </c>
      <c r="Y107" s="111"/>
      <c r="Z107" s="106"/>
      <c r="AA107" s="107"/>
      <c r="AB107" s="7"/>
    </row>
    <row r="108" spans="1:28" x14ac:dyDescent="0.35">
      <c r="A108" s="28" t="s">
        <v>2</v>
      </c>
      <c r="B108" s="178">
        <v>867994.79189999995</v>
      </c>
      <c r="C108" s="177">
        <v>1003897.7588</v>
      </c>
      <c r="D108" s="179">
        <v>848990.53729999997</v>
      </c>
      <c r="E108" s="176">
        <f>AVERAGE(B108:D108)</f>
        <v>906961.02933333337</v>
      </c>
      <c r="F108" s="177">
        <f>_xlfn.STDEV.S(B108:D108)</f>
        <v>84485.724018887922</v>
      </c>
      <c r="G108" s="177">
        <f>_xlfn.CONFIDENCE.NORM(0.05, F108, 3)</f>
        <v>95602.840032870125</v>
      </c>
      <c r="H108" s="135">
        <f t="shared" si="84"/>
        <v>737989.58129555755</v>
      </c>
      <c r="I108" s="136">
        <f t="shared" si="85"/>
        <v>1075932.4773711092</v>
      </c>
      <c r="J108" s="136" t="str">
        <f t="shared" si="86"/>
        <v/>
      </c>
      <c r="K108" s="136" t="str">
        <f t="shared" si="87"/>
        <v/>
      </c>
      <c r="L108" s="136" t="str">
        <f t="shared" si="88"/>
        <v/>
      </c>
      <c r="M108" s="170"/>
      <c r="N108" s="178">
        <v>964570.21299999999</v>
      </c>
      <c r="O108" s="177">
        <v>1037501.8432</v>
      </c>
      <c r="P108" s="179">
        <v>910505.38749999995</v>
      </c>
      <c r="Q108" s="176">
        <f>AVERAGE(N108:P108)</f>
        <v>970859.14789999987</v>
      </c>
      <c r="R108" s="177">
        <f>_xlfn.STDEV.S(N108:P108)</f>
        <v>63731.373488438541</v>
      </c>
      <c r="S108" s="177">
        <f>_xlfn.CONFIDENCE.NORM(0.05, R108, 3)</f>
        <v>72117.513052597395</v>
      </c>
      <c r="T108" s="135">
        <f t="shared" si="89"/>
        <v>843396.40092312277</v>
      </c>
      <c r="U108" s="135">
        <f t="shared" si="90"/>
        <v>1098321.8948768768</v>
      </c>
      <c r="V108" s="136" t="str">
        <f t="shared" si="91"/>
        <v/>
      </c>
      <c r="W108" s="136" t="str">
        <f t="shared" si="92"/>
        <v/>
      </c>
      <c r="X108" s="138" t="str">
        <f t="shared" si="93"/>
        <v/>
      </c>
      <c r="Y108" s="111"/>
      <c r="Z108" s="106">
        <f t="shared" ref="Z108:Z117" si="140">_xlfn.T.TEST(B108:D108,N108:P108,2,1)</f>
        <v>7.2547183946078175E-2</v>
      </c>
      <c r="AA108" s="107" t="str">
        <f>IF(Z108&lt;0.05,"YES","NO")</f>
        <v>NO</v>
      </c>
      <c r="AB108" s="7"/>
    </row>
    <row r="109" spans="1:28" x14ac:dyDescent="0.35">
      <c r="A109" s="28" t="s">
        <v>1</v>
      </c>
      <c r="B109" s="178">
        <v>1078424.531</v>
      </c>
      <c r="C109" s="177">
        <v>975573.43770000001</v>
      </c>
      <c r="D109" s="179">
        <v>919340.76229999994</v>
      </c>
      <c r="E109" s="176">
        <f t="shared" ref="E109:E117" si="141">AVERAGE(B109:D109)</f>
        <v>991112.91033333342</v>
      </c>
      <c r="F109" s="177">
        <f t="shared" ref="F109:F117" si="142">_xlfn.STDEV.S(B109:D109)</f>
        <v>80672.286277508974</v>
      </c>
      <c r="G109" s="177">
        <f t="shared" ref="G109:G117" si="143">_xlfn.CONFIDENCE.NORM(0.05, F109, 3)</f>
        <v>91287.608286938063</v>
      </c>
      <c r="H109" s="135">
        <f t="shared" si="84"/>
        <v>829768.33777831541</v>
      </c>
      <c r="I109" s="136">
        <f t="shared" si="85"/>
        <v>1152457.4828883514</v>
      </c>
      <c r="J109" s="136" t="str">
        <f t="shared" si="86"/>
        <v/>
      </c>
      <c r="K109" s="136" t="str">
        <f t="shared" si="87"/>
        <v/>
      </c>
      <c r="L109" s="136" t="str">
        <f t="shared" si="88"/>
        <v/>
      </c>
      <c r="M109" s="170"/>
      <c r="N109" s="178">
        <v>1146272.9269999999</v>
      </c>
      <c r="O109" s="177">
        <v>1075982.8444999999</v>
      </c>
      <c r="P109" s="179">
        <v>1130988.0227999999</v>
      </c>
      <c r="Q109" s="176">
        <f t="shared" ref="Q109:Q117" si="144">AVERAGE(N109:P109)</f>
        <v>1117747.9314333333</v>
      </c>
      <c r="R109" s="177">
        <f t="shared" ref="R109:R117" si="145">_xlfn.STDEV.S(N109:P109)</f>
        <v>36968.215253274851</v>
      </c>
      <c r="S109" s="177">
        <f t="shared" ref="S109:S117" si="146">_xlfn.CONFIDENCE.NORM(0.05, R109, 3)</f>
        <v>41832.704994862943</v>
      </c>
      <c r="T109" s="135">
        <f t="shared" si="89"/>
        <v>1043811.5009267837</v>
      </c>
      <c r="U109" s="135">
        <f t="shared" si="90"/>
        <v>1191684.3619398831</v>
      </c>
      <c r="V109" s="136" t="str">
        <f t="shared" si="91"/>
        <v/>
      </c>
      <c r="W109" s="136" t="str">
        <f t="shared" si="92"/>
        <v/>
      </c>
      <c r="X109" s="138" t="str">
        <f t="shared" si="93"/>
        <v/>
      </c>
      <c r="Y109" s="111"/>
      <c r="Z109" s="106">
        <f t="shared" si="140"/>
        <v>0.10064963849141428</v>
      </c>
      <c r="AA109" s="107" t="str">
        <f t="shared" ref="AA109:AA117" si="147">IF(Z109&lt;0.05,"YES","NO")</f>
        <v>NO</v>
      </c>
      <c r="AB109" s="7"/>
    </row>
    <row r="110" spans="1:28" x14ac:dyDescent="0.35">
      <c r="A110" s="28" t="s">
        <v>3</v>
      </c>
      <c r="B110" s="178">
        <v>729532.12250000006</v>
      </c>
      <c r="C110" s="177">
        <v>972425.35309999995</v>
      </c>
      <c r="D110" s="179">
        <v>918746.35190000001</v>
      </c>
      <c r="E110" s="176">
        <f t="shared" si="141"/>
        <v>873567.9425</v>
      </c>
      <c r="F110" s="177">
        <f t="shared" si="142"/>
        <v>127593.48288514376</v>
      </c>
      <c r="G110" s="177">
        <f t="shared" si="143"/>
        <v>144382.96499392085</v>
      </c>
      <c r="H110" s="135">
        <f t="shared" si="84"/>
        <v>618380.97672971245</v>
      </c>
      <c r="I110" s="136">
        <f t="shared" si="85"/>
        <v>1128754.9082702876</v>
      </c>
      <c r="J110" s="136" t="str">
        <f t="shared" si="86"/>
        <v/>
      </c>
      <c r="K110" s="136" t="str">
        <f t="shared" si="87"/>
        <v/>
      </c>
      <c r="L110" s="136" t="str">
        <f t="shared" si="88"/>
        <v/>
      </c>
      <c r="M110" s="170"/>
      <c r="N110" s="178">
        <v>725616.73389999999</v>
      </c>
      <c r="O110" s="177">
        <v>1075746.6697</v>
      </c>
      <c r="P110" s="179">
        <v>958634.54839999997</v>
      </c>
      <c r="Q110" s="176">
        <f t="shared" si="144"/>
        <v>919999.31733333319</v>
      </c>
      <c r="R110" s="177">
        <f t="shared" si="145"/>
        <v>178233.70555399806</v>
      </c>
      <c r="S110" s="177">
        <f t="shared" si="146"/>
        <v>201686.71853643711</v>
      </c>
      <c r="T110" s="135">
        <f t="shared" si="89"/>
        <v>563531.90622533706</v>
      </c>
      <c r="U110" s="135">
        <f t="shared" si="90"/>
        <v>1276466.7284413292</v>
      </c>
      <c r="V110" s="136" t="str">
        <f t="shared" si="91"/>
        <v/>
      </c>
      <c r="W110" s="136" t="str">
        <f t="shared" si="92"/>
        <v/>
      </c>
      <c r="X110" s="138" t="str">
        <f t="shared" si="93"/>
        <v/>
      </c>
      <c r="Y110" s="111"/>
      <c r="Z110" s="106">
        <f t="shared" si="140"/>
        <v>0.27432351074267314</v>
      </c>
      <c r="AA110" s="107" t="str">
        <f t="shared" si="147"/>
        <v>NO</v>
      </c>
      <c r="AB110" s="7"/>
    </row>
    <row r="111" spans="1:28" x14ac:dyDescent="0.35">
      <c r="A111" s="28" t="s">
        <v>0</v>
      </c>
      <c r="B111" s="178">
        <v>1099978.8426000001</v>
      </c>
      <c r="C111" s="177">
        <v>929903.90619999997</v>
      </c>
      <c r="D111" s="179">
        <v>1077205.5676</v>
      </c>
      <c r="E111" s="176">
        <f t="shared" si="141"/>
        <v>1035696.1054666666</v>
      </c>
      <c r="F111" s="177">
        <f t="shared" si="142"/>
        <v>92323.602522946399</v>
      </c>
      <c r="G111" s="177">
        <f t="shared" si="143"/>
        <v>104472.071533485</v>
      </c>
      <c r="H111" s="135">
        <f t="shared" si="84"/>
        <v>851048.90042077377</v>
      </c>
      <c r="I111" s="136">
        <f t="shared" si="85"/>
        <v>1220343.3105125595</v>
      </c>
      <c r="J111" s="136" t="str">
        <f t="shared" si="86"/>
        <v/>
      </c>
      <c r="K111" s="136" t="str">
        <f t="shared" si="87"/>
        <v/>
      </c>
      <c r="L111" s="136" t="str">
        <f t="shared" si="88"/>
        <v/>
      </c>
      <c r="M111" s="170"/>
      <c r="N111" s="178">
        <v>1120856.7561000001</v>
      </c>
      <c r="O111" s="177">
        <v>999801.99340000004</v>
      </c>
      <c r="P111" s="179">
        <v>1229642.3082999999</v>
      </c>
      <c r="Q111" s="176">
        <f t="shared" si="144"/>
        <v>1116767.0192666666</v>
      </c>
      <c r="R111" s="177">
        <f t="shared" si="145"/>
        <v>114974.72352155155</v>
      </c>
      <c r="S111" s="177">
        <f t="shared" si="146"/>
        <v>130103.75691633979</v>
      </c>
      <c r="T111" s="135">
        <f t="shared" si="89"/>
        <v>886817.57222356345</v>
      </c>
      <c r="U111" s="135">
        <f t="shared" si="90"/>
        <v>1346716.4663097698</v>
      </c>
      <c r="V111" s="136" t="str">
        <f t="shared" si="91"/>
        <v/>
      </c>
      <c r="W111" s="136" t="str">
        <f t="shared" si="92"/>
        <v/>
      </c>
      <c r="X111" s="138" t="str">
        <f t="shared" si="93"/>
        <v/>
      </c>
      <c r="Y111" s="111"/>
      <c r="Z111" s="106">
        <f t="shared" si="140"/>
        <v>0.16908362745058259</v>
      </c>
      <c r="AA111" s="107" t="str">
        <f t="shared" si="147"/>
        <v>NO</v>
      </c>
      <c r="AB111" s="7"/>
    </row>
    <row r="112" spans="1:28" x14ac:dyDescent="0.35">
      <c r="A112" s="28" t="s">
        <v>4</v>
      </c>
      <c r="B112" s="178">
        <v>921737.69530000002</v>
      </c>
      <c r="C112" s="177">
        <v>638259.37309999997</v>
      </c>
      <c r="D112" s="179">
        <v>950029.46250000002</v>
      </c>
      <c r="E112" s="176">
        <f t="shared" si="141"/>
        <v>836675.51030000008</v>
      </c>
      <c r="F112" s="177">
        <f t="shared" si="142"/>
        <v>172414.69963101012</v>
      </c>
      <c r="G112" s="177">
        <f t="shared" si="143"/>
        <v>195102.01444747922</v>
      </c>
      <c r="H112" s="135">
        <f t="shared" si="84"/>
        <v>491846.11103797983</v>
      </c>
      <c r="I112" s="136">
        <f t="shared" si="85"/>
        <v>1181504.9095620203</v>
      </c>
      <c r="J112" s="136" t="str">
        <f t="shared" si="86"/>
        <v/>
      </c>
      <c r="K112" s="136" t="str">
        <f t="shared" si="87"/>
        <v/>
      </c>
      <c r="L112" s="136" t="str">
        <f t="shared" si="88"/>
        <v/>
      </c>
      <c r="M112" s="170"/>
      <c r="N112" s="178">
        <v>1129977.7848</v>
      </c>
      <c r="O112" s="177">
        <v>783979.15509999997</v>
      </c>
      <c r="P112" s="179">
        <v>1003760.3088999999</v>
      </c>
      <c r="Q112" s="176">
        <f t="shared" si="144"/>
        <v>972572.41626666673</v>
      </c>
      <c r="R112" s="177">
        <f t="shared" si="145"/>
        <v>175095.04968373745</v>
      </c>
      <c r="S112" s="177">
        <f t="shared" si="146"/>
        <v>198135.06032947576</v>
      </c>
      <c r="T112" s="135">
        <f t="shared" si="89"/>
        <v>622382.31689919182</v>
      </c>
      <c r="U112" s="135">
        <f t="shared" si="90"/>
        <v>1322762.5156341416</v>
      </c>
      <c r="V112" s="136" t="str">
        <f t="shared" si="91"/>
        <v/>
      </c>
      <c r="W112" s="136" t="str">
        <f t="shared" si="92"/>
        <v/>
      </c>
      <c r="X112" s="138" t="str">
        <f t="shared" si="93"/>
        <v/>
      </c>
      <c r="Y112" s="111"/>
      <c r="Z112" s="106">
        <f t="shared" si="140"/>
        <v>9.3921245378382201E-2</v>
      </c>
      <c r="AA112" s="107" t="str">
        <f t="shared" si="147"/>
        <v>NO</v>
      </c>
      <c r="AB112" s="7"/>
    </row>
    <row r="113" spans="1:28" x14ac:dyDescent="0.35">
      <c r="A113" s="28" t="s">
        <v>5</v>
      </c>
      <c r="B113" s="178">
        <v>1119895.8126000001</v>
      </c>
      <c r="C113" s="177">
        <v>974736.6814</v>
      </c>
      <c r="D113" s="179">
        <v>949208.38029999996</v>
      </c>
      <c r="E113" s="176">
        <f t="shared" si="141"/>
        <v>1014613.6247666666</v>
      </c>
      <c r="F113" s="177">
        <f t="shared" si="142"/>
        <v>92066.160153951438</v>
      </c>
      <c r="G113" s="177">
        <f t="shared" si="143"/>
        <v>104180.75342138352</v>
      </c>
      <c r="H113" s="135">
        <f t="shared" si="84"/>
        <v>830481.30445876368</v>
      </c>
      <c r="I113" s="136">
        <f t="shared" si="85"/>
        <v>1198745.9450745694</v>
      </c>
      <c r="J113" s="136" t="str">
        <f t="shared" si="86"/>
        <v/>
      </c>
      <c r="K113" s="136" t="str">
        <f t="shared" si="87"/>
        <v/>
      </c>
      <c r="L113" s="136" t="str">
        <f t="shared" si="88"/>
        <v/>
      </c>
      <c r="M113" s="170" t="s">
        <v>59</v>
      </c>
      <c r="N113" s="178">
        <v>1270010.95</v>
      </c>
      <c r="O113" s="177">
        <v>1119380.9783999999</v>
      </c>
      <c r="P113" s="179">
        <v>1355331.7520999999</v>
      </c>
      <c r="Q113" s="176">
        <f t="shared" si="144"/>
        <v>1248241.2268333333</v>
      </c>
      <c r="R113" s="177">
        <f t="shared" si="145"/>
        <v>119472.3086638579</v>
      </c>
      <c r="S113" s="177">
        <f t="shared" si="146"/>
        <v>135193.16010116661</v>
      </c>
      <c r="T113" s="135">
        <f t="shared" si="89"/>
        <v>1009296.6095056175</v>
      </c>
      <c r="U113" s="135">
        <f t="shared" si="90"/>
        <v>1487185.844161049</v>
      </c>
      <c r="V113" s="136" t="str">
        <f t="shared" si="91"/>
        <v/>
      </c>
      <c r="W113" s="136" t="str">
        <f t="shared" si="92"/>
        <v/>
      </c>
      <c r="X113" s="138" t="str">
        <f t="shared" si="93"/>
        <v/>
      </c>
      <c r="Y113" s="111"/>
      <c r="Z113" s="106">
        <f t="shared" si="140"/>
        <v>0.11357191618181905</v>
      </c>
      <c r="AA113" s="107" t="str">
        <f t="shared" si="147"/>
        <v>NO</v>
      </c>
      <c r="AB113" s="7"/>
    </row>
    <row r="114" spans="1:28" x14ac:dyDescent="0.35">
      <c r="A114" s="28" t="s">
        <v>6</v>
      </c>
      <c r="B114" s="178">
        <v>1087504.6629999999</v>
      </c>
      <c r="C114" s="177">
        <v>966448.69469999999</v>
      </c>
      <c r="D114" s="179">
        <v>748322.96799999999</v>
      </c>
      <c r="E114" s="176">
        <f t="shared" si="141"/>
        <v>934092.1085666666</v>
      </c>
      <c r="F114" s="177">
        <f t="shared" si="142"/>
        <v>171890.27620962492</v>
      </c>
      <c r="G114" s="177">
        <f t="shared" si="143"/>
        <v>194508.5843852243</v>
      </c>
      <c r="H114" s="135">
        <f t="shared" si="84"/>
        <v>590311.55614741682</v>
      </c>
      <c r="I114" s="136">
        <f t="shared" si="85"/>
        <v>1277872.6609859164</v>
      </c>
      <c r="J114" s="136" t="str">
        <f t="shared" si="86"/>
        <v/>
      </c>
      <c r="K114" s="136" t="str">
        <f t="shared" si="87"/>
        <v/>
      </c>
      <c r="L114" s="136" t="str">
        <f t="shared" si="88"/>
        <v/>
      </c>
      <c r="M114" s="170"/>
      <c r="N114" s="178">
        <v>1302704.1540999999</v>
      </c>
      <c r="O114" s="177">
        <v>1100967.5171999999</v>
      </c>
      <c r="P114" s="179">
        <v>836610.40240000002</v>
      </c>
      <c r="Q114" s="176">
        <f t="shared" si="144"/>
        <v>1080094.0245666665</v>
      </c>
      <c r="R114" s="177">
        <f t="shared" si="145"/>
        <v>233746.92161498236</v>
      </c>
      <c r="S114" s="177">
        <f t="shared" si="146"/>
        <v>264504.68188373512</v>
      </c>
      <c r="T114" s="135">
        <f t="shared" si="89"/>
        <v>612600.18133670173</v>
      </c>
      <c r="U114" s="135">
        <f t="shared" si="90"/>
        <v>1547587.8677966311</v>
      </c>
      <c r="V114" s="136" t="str">
        <f t="shared" si="91"/>
        <v/>
      </c>
      <c r="W114" s="136" t="str">
        <f t="shared" si="92"/>
        <v/>
      </c>
      <c r="X114" s="138" t="str">
        <f t="shared" si="93"/>
        <v/>
      </c>
      <c r="Y114" s="111"/>
      <c r="Z114" s="106">
        <f t="shared" si="140"/>
        <v>5.8873156939593274E-2</v>
      </c>
      <c r="AA114" s="107" t="str">
        <f t="shared" si="147"/>
        <v>NO</v>
      </c>
      <c r="AB114" s="7"/>
    </row>
    <row r="115" spans="1:28" x14ac:dyDescent="0.35">
      <c r="A115" s="28" t="s">
        <v>42</v>
      </c>
      <c r="B115" s="178">
        <v>1044898.8171</v>
      </c>
      <c r="C115" s="177">
        <v>838367.10840000003</v>
      </c>
      <c r="D115" s="179">
        <v>838679.38489999995</v>
      </c>
      <c r="E115" s="176">
        <f t="shared" si="141"/>
        <v>907315.10346666665</v>
      </c>
      <c r="F115" s="177">
        <f t="shared" si="142"/>
        <v>119151.09345703598</v>
      </c>
      <c r="G115" s="177">
        <f t="shared" si="143"/>
        <v>134829.67755555859</v>
      </c>
      <c r="H115" s="135">
        <f t="shared" si="84"/>
        <v>669012.91655259463</v>
      </c>
      <c r="I115" s="136">
        <f t="shared" si="85"/>
        <v>1145617.2903807387</v>
      </c>
      <c r="J115" s="136" t="str">
        <f t="shared" si="86"/>
        <v/>
      </c>
      <c r="K115" s="136" t="str">
        <f t="shared" si="87"/>
        <v/>
      </c>
      <c r="L115" s="136" t="str">
        <f t="shared" si="88"/>
        <v/>
      </c>
      <c r="M115" s="170"/>
      <c r="N115" s="178">
        <v>845652.94030000002</v>
      </c>
      <c r="O115" s="177">
        <v>714906</v>
      </c>
      <c r="P115" s="179">
        <v>742545</v>
      </c>
      <c r="Q115" s="176">
        <f t="shared" si="144"/>
        <v>767701.3134333333</v>
      </c>
      <c r="R115" s="177">
        <f t="shared" si="145"/>
        <v>68908.059605680537</v>
      </c>
      <c r="S115" s="177">
        <f t="shared" si="146"/>
        <v>77975.377212658597</v>
      </c>
      <c r="T115" s="135">
        <f t="shared" si="89"/>
        <v>629885.19422197226</v>
      </c>
      <c r="U115" s="135">
        <f t="shared" si="90"/>
        <v>905517.43264469435</v>
      </c>
      <c r="V115" s="136" t="str">
        <f t="shared" si="91"/>
        <v/>
      </c>
      <c r="W115" s="136" t="str">
        <f t="shared" si="92"/>
        <v/>
      </c>
      <c r="X115" s="138" t="str">
        <f t="shared" si="93"/>
        <v/>
      </c>
      <c r="Y115" s="111"/>
      <c r="Z115" s="106">
        <f t="shared" si="140"/>
        <v>4.5496255613151786E-2</v>
      </c>
      <c r="AA115" s="107" t="str">
        <f t="shared" si="147"/>
        <v>YES</v>
      </c>
      <c r="AB115" s="7"/>
    </row>
    <row r="116" spans="1:28" x14ac:dyDescent="0.35">
      <c r="A116" s="37" t="s">
        <v>8</v>
      </c>
      <c r="B116" s="180">
        <v>8062902.432</v>
      </c>
      <c r="C116" s="181">
        <v>5314991.0999999996</v>
      </c>
      <c r="D116" s="182">
        <v>10262892.307</v>
      </c>
      <c r="E116" s="176">
        <f t="shared" ref="E116" si="148">AVERAGE(B116:D116)</f>
        <v>7880261.9463333338</v>
      </c>
      <c r="F116" s="177">
        <f t="shared" ref="F116" si="149">_xlfn.STDEV.S(B116:D116)</f>
        <v>2479001.7645841688</v>
      </c>
      <c r="G116" s="177">
        <f t="shared" ref="G116" si="150">_xlfn.CONFIDENCE.NORM(0.05, F116, 3)</f>
        <v>2805203.0315531013</v>
      </c>
      <c r="H116" s="135">
        <f t="shared" ref="H116" si="151">E116-2*F116</f>
        <v>2922258.4171649963</v>
      </c>
      <c r="I116" s="136">
        <f t="shared" ref="I116" si="152">E116+2*F116</f>
        <v>12838265.475501671</v>
      </c>
      <c r="J116" s="142"/>
      <c r="K116" s="142"/>
      <c r="L116" s="142"/>
      <c r="M116" s="184"/>
      <c r="N116" s="180">
        <v>7846815.0880000005</v>
      </c>
      <c r="O116" s="181">
        <v>6523958.4810000006</v>
      </c>
      <c r="P116" s="182">
        <v>9965294.1799999997</v>
      </c>
      <c r="Q116" s="176">
        <f t="shared" ref="Q116" si="153">AVERAGE(N116:P116)</f>
        <v>8112022.5830000006</v>
      </c>
      <c r="R116" s="177">
        <f t="shared" ref="R116" si="154">_xlfn.STDEV.S(N116:P116)</f>
        <v>1735928.8896311573</v>
      </c>
      <c r="S116" s="177">
        <f t="shared" ref="S116" si="155">_xlfn.CONFIDENCE.NORM(0.05, R116, 3)</f>
        <v>1964352.3668773065</v>
      </c>
      <c r="T116" s="135">
        <f t="shared" ref="T116" si="156">Q116-2*R116</f>
        <v>4640164.803737686</v>
      </c>
      <c r="U116" s="135">
        <f t="shared" ref="U116" si="157">Q116+2*R116</f>
        <v>11583880.362262316</v>
      </c>
      <c r="V116" s="142"/>
      <c r="W116" s="142"/>
      <c r="X116" s="144"/>
      <c r="Y116" s="111"/>
      <c r="Z116" s="106">
        <f t="shared" si="140"/>
        <v>0.68233686941163296</v>
      </c>
      <c r="AA116" s="107" t="str">
        <f t="shared" si="147"/>
        <v>NO</v>
      </c>
      <c r="AB116" s="7"/>
    </row>
    <row r="117" spans="1:28" ht="15" thickBot="1" x14ac:dyDescent="0.4">
      <c r="A117" s="29" t="s">
        <v>43</v>
      </c>
      <c r="B117" s="192">
        <v>1019605.6276</v>
      </c>
      <c r="C117" s="189">
        <v>1049649.2779000001</v>
      </c>
      <c r="D117" s="193">
        <v>646506.36589999998</v>
      </c>
      <c r="E117" s="188">
        <f t="shared" si="141"/>
        <v>905253.75713333336</v>
      </c>
      <c r="F117" s="189">
        <f t="shared" si="142"/>
        <v>224584.76035425669</v>
      </c>
      <c r="G117" s="189">
        <f t="shared" si="143"/>
        <v>254136.91090779263</v>
      </c>
      <c r="H117" s="146">
        <f t="shared" si="84"/>
        <v>456084.23642481997</v>
      </c>
      <c r="I117" s="149">
        <f t="shared" si="85"/>
        <v>1354423.2778418467</v>
      </c>
      <c r="J117" s="149" t="str">
        <f t="shared" si="86"/>
        <v/>
      </c>
      <c r="K117" s="149" t="str">
        <f t="shared" si="87"/>
        <v/>
      </c>
      <c r="L117" s="149" t="str">
        <f t="shared" si="88"/>
        <v/>
      </c>
      <c r="M117" s="190"/>
      <c r="N117" s="192">
        <v>1160269.9065</v>
      </c>
      <c r="O117" s="189">
        <v>1407562.8289000001</v>
      </c>
      <c r="P117" s="193">
        <v>800640.19779999997</v>
      </c>
      <c r="Q117" s="188">
        <f t="shared" si="144"/>
        <v>1122824.3110666666</v>
      </c>
      <c r="R117" s="189">
        <f t="shared" si="145"/>
        <v>305189.12087155849</v>
      </c>
      <c r="S117" s="189">
        <f t="shared" si="146"/>
        <v>345347.65537350398</v>
      </c>
      <c r="T117" s="146">
        <f t="shared" si="89"/>
        <v>512446.06932354963</v>
      </c>
      <c r="U117" s="146">
        <f t="shared" si="90"/>
        <v>1733202.5528097837</v>
      </c>
      <c r="V117" s="149" t="str">
        <f t="shared" si="91"/>
        <v/>
      </c>
      <c r="W117" s="149" t="str">
        <f t="shared" si="92"/>
        <v/>
      </c>
      <c r="X117" s="147" t="str">
        <f t="shared" si="93"/>
        <v/>
      </c>
      <c r="Y117" s="111"/>
      <c r="Z117" s="106">
        <f t="shared" si="140"/>
        <v>9.0413156295467534E-2</v>
      </c>
      <c r="AA117" s="107" t="str">
        <f t="shared" si="147"/>
        <v>NO</v>
      </c>
      <c r="AB117" s="7"/>
    </row>
    <row r="118" spans="1:28" x14ac:dyDescent="0.35">
      <c r="A118" s="30" t="s">
        <v>47</v>
      </c>
      <c r="B118" s="163" t="s">
        <v>135</v>
      </c>
      <c r="C118" s="164"/>
      <c r="D118" s="195"/>
      <c r="E118" s="122"/>
      <c r="F118" s="122"/>
      <c r="G118" s="122"/>
      <c r="H118" s="154"/>
      <c r="I118" s="154"/>
      <c r="J118" s="154"/>
      <c r="K118" s="154"/>
      <c r="L118" s="155"/>
      <c r="M118" s="166"/>
      <c r="N118" s="163" t="s">
        <v>136</v>
      </c>
      <c r="O118" s="164"/>
      <c r="P118" s="165"/>
      <c r="Q118" s="191"/>
      <c r="R118" s="122"/>
      <c r="S118" s="122"/>
      <c r="T118" s="154"/>
      <c r="U118" s="154"/>
      <c r="V118" s="155"/>
      <c r="W118" s="155" t="str">
        <f t="shared" si="92"/>
        <v/>
      </c>
      <c r="X118" s="157" t="str">
        <f t="shared" si="93"/>
        <v/>
      </c>
      <c r="Y118" s="111"/>
      <c r="Z118" s="106"/>
      <c r="AA118" s="107"/>
      <c r="AB118" s="7"/>
    </row>
    <row r="119" spans="1:28" ht="15" thickBot="1" x14ac:dyDescent="0.4">
      <c r="A119" s="31" t="s">
        <v>48</v>
      </c>
      <c r="B119" s="167" t="s">
        <v>50</v>
      </c>
      <c r="C119" s="168"/>
      <c r="D119" s="196"/>
      <c r="E119" s="107"/>
      <c r="F119" s="107"/>
      <c r="G119" s="107"/>
      <c r="H119" s="135"/>
      <c r="I119" s="135"/>
      <c r="J119" s="135"/>
      <c r="K119" s="135"/>
      <c r="L119" s="136"/>
      <c r="M119" s="170"/>
      <c r="N119" s="167" t="s">
        <v>50</v>
      </c>
      <c r="O119" s="168"/>
      <c r="P119" s="169"/>
      <c r="Q119" s="161"/>
      <c r="R119" s="107"/>
      <c r="S119" s="107"/>
      <c r="T119" s="135"/>
      <c r="U119" s="135"/>
      <c r="V119" s="136"/>
      <c r="W119" s="136" t="str">
        <f t="shared" si="92"/>
        <v/>
      </c>
      <c r="X119" s="138" t="str">
        <f t="shared" si="93"/>
        <v/>
      </c>
      <c r="Y119" s="111"/>
      <c r="Z119" s="106"/>
      <c r="AA119" s="107"/>
      <c r="AB119" s="7"/>
    </row>
    <row r="120" spans="1:28" ht="15" thickBot="1" x14ac:dyDescent="0.4">
      <c r="A120" s="28" t="s">
        <v>49</v>
      </c>
      <c r="B120" s="115">
        <v>1</v>
      </c>
      <c r="C120" s="116">
        <v>2</v>
      </c>
      <c r="D120" s="114">
        <v>3</v>
      </c>
      <c r="E120" s="161" t="s">
        <v>30</v>
      </c>
      <c r="F120" s="107" t="s">
        <v>31</v>
      </c>
      <c r="G120" s="107" t="s">
        <v>51</v>
      </c>
      <c r="H120" s="107" t="s">
        <v>52</v>
      </c>
      <c r="I120" s="107" t="s">
        <v>53</v>
      </c>
      <c r="J120" s="107" t="s">
        <v>54</v>
      </c>
      <c r="K120" s="107" t="s">
        <v>55</v>
      </c>
      <c r="L120" s="107" t="s">
        <v>56</v>
      </c>
      <c r="M120" s="162" t="s">
        <v>57</v>
      </c>
      <c r="N120" s="115">
        <v>1</v>
      </c>
      <c r="O120" s="116">
        <v>2</v>
      </c>
      <c r="P120" s="114">
        <v>3</v>
      </c>
      <c r="Q120" s="161" t="s">
        <v>30</v>
      </c>
      <c r="R120" s="107" t="s">
        <v>31</v>
      </c>
      <c r="S120" s="107" t="s">
        <v>51</v>
      </c>
      <c r="T120" s="107" t="s">
        <v>52</v>
      </c>
      <c r="U120" s="107" t="s">
        <v>53</v>
      </c>
      <c r="V120" s="107" t="s">
        <v>54</v>
      </c>
      <c r="W120" s="107" t="s">
        <v>55</v>
      </c>
      <c r="X120" s="107" t="s">
        <v>56</v>
      </c>
      <c r="Y120" s="111"/>
      <c r="Z120" s="106"/>
      <c r="AA120" s="107"/>
      <c r="AB120" s="7"/>
    </row>
    <row r="121" spans="1:28" x14ac:dyDescent="0.35">
      <c r="A121" s="28" t="s">
        <v>2</v>
      </c>
      <c r="B121" s="139">
        <f>AVERAGE('Raw results fibers'!Z4:Z9)</f>
        <v>17.440000000000001</v>
      </c>
      <c r="C121" s="135">
        <f>AVERAGE('Raw results fibers'!AA4:AA9)</f>
        <v>21.366666666666664</v>
      </c>
      <c r="D121" s="138">
        <f>AVERAGE('Raw results fibers'!AB4:AB9)</f>
        <v>18.878333333333334</v>
      </c>
      <c r="E121" s="134">
        <f>AVERAGE(B121:D121)</f>
        <v>19.228333333333335</v>
      </c>
      <c r="F121" s="135">
        <f>_xlfn.STDEV.S(B121:D121)</f>
        <v>1.9865932592701934</v>
      </c>
      <c r="G121" s="135">
        <f>_xlfn.CONFIDENCE.NORM(0.05, F121, 3)</f>
        <v>2.248000591602036</v>
      </c>
      <c r="H121" s="135">
        <f t="shared" si="84"/>
        <v>15.255146814792948</v>
      </c>
      <c r="I121" s="136">
        <f t="shared" si="85"/>
        <v>23.201519851873723</v>
      </c>
      <c r="J121" s="136" t="str">
        <f t="shared" si="86"/>
        <v/>
      </c>
      <c r="K121" s="136" t="str">
        <f t="shared" si="87"/>
        <v/>
      </c>
      <c r="L121" s="136" t="str">
        <f t="shared" si="88"/>
        <v/>
      </c>
      <c r="M121" s="140"/>
      <c r="N121" s="139">
        <f>AVERAGE('Raw results fibers'!AC4:AC9)</f>
        <v>19.139999999999997</v>
      </c>
      <c r="O121" s="135">
        <f>AVERAGE('Raw results fibers'!AD4:AD9)</f>
        <v>19.414999999999999</v>
      </c>
      <c r="P121" s="138">
        <f>AVERAGE('Raw results fibers'!AE4:AE9)</f>
        <v>19.431666666666668</v>
      </c>
      <c r="Q121" s="134">
        <f>AVERAGE(N121:P121)</f>
        <v>19.328888888888887</v>
      </c>
      <c r="R121" s="135">
        <f>_xlfn.STDEV.S(N121:P121)</f>
        <v>0.16379469986450837</v>
      </c>
      <c r="S121" s="135">
        <f>_xlfn.CONFIDENCE.NORM(0.05, R121, 3)</f>
        <v>0.18534774568396589</v>
      </c>
      <c r="T121" s="135">
        <f t="shared" si="89"/>
        <v>19.001299489159869</v>
      </c>
      <c r="U121" s="135">
        <f t="shared" si="90"/>
        <v>19.656478288617905</v>
      </c>
      <c r="V121" s="136" t="str">
        <f t="shared" si="91"/>
        <v/>
      </c>
      <c r="W121" s="136" t="str">
        <f t="shared" si="92"/>
        <v/>
      </c>
      <c r="X121" s="138" t="str">
        <f t="shared" si="93"/>
        <v/>
      </c>
      <c r="Y121" s="194"/>
      <c r="Z121" s="106">
        <f t="shared" ref="Z121:Z130" si="158">_xlfn.T.TEST(B121:D121,N121:P121,2,1)</f>
        <v>0.93419528229869297</v>
      </c>
      <c r="AA121" s="107" t="str">
        <f>IF(Z121&lt;0.05,"YES","NO")</f>
        <v>NO</v>
      </c>
      <c r="AB121" s="7"/>
    </row>
    <row r="122" spans="1:28" x14ac:dyDescent="0.35">
      <c r="A122" s="28" t="s">
        <v>1</v>
      </c>
      <c r="B122" s="139">
        <f>AVERAGE('Raw results fibers'!Z10:Z15)</f>
        <v>20.531666666666666</v>
      </c>
      <c r="C122" s="135">
        <f>AVERAGE('Raw results fibers'!AA10:AA15)</f>
        <v>18.995000000000001</v>
      </c>
      <c r="D122" s="138">
        <f>AVERAGE('Raw results fibers'!AB10:AB15)</f>
        <v>21.793333333333333</v>
      </c>
      <c r="E122" s="134">
        <f t="shared" ref="E122:E130" si="159">AVERAGE(B122:D122)</f>
        <v>20.440000000000001</v>
      </c>
      <c r="F122" s="135">
        <f t="shared" ref="F122:F130" si="160">_xlfn.STDEV.S(B122:D122)</f>
        <v>1.4014169416859648</v>
      </c>
      <c r="G122" s="135">
        <f t="shared" ref="G122:G130" si="161">_xlfn.CONFIDENCE.NORM(0.05, F122, 3)</f>
        <v>1.5858234187044957</v>
      </c>
      <c r="H122" s="135">
        <f t="shared" si="84"/>
        <v>17.637166116628073</v>
      </c>
      <c r="I122" s="136">
        <f t="shared" si="85"/>
        <v>23.242833883371929</v>
      </c>
      <c r="J122" s="136" t="str">
        <f t="shared" si="86"/>
        <v/>
      </c>
      <c r="K122" s="136" t="str">
        <f t="shared" si="87"/>
        <v/>
      </c>
      <c r="L122" s="136" t="str">
        <f t="shared" si="88"/>
        <v/>
      </c>
      <c r="M122" s="140"/>
      <c r="N122" s="139">
        <f>AVERAGE('Raw results fibers'!AC10:AC15)</f>
        <v>12.403333333333334</v>
      </c>
      <c r="O122" s="135">
        <f>AVERAGE('Raw results fibers'!AD10:AD15)</f>
        <v>12.058333333333332</v>
      </c>
      <c r="P122" s="138">
        <f>AVERAGE('Raw results fibers'!AE10:AE15)</f>
        <v>14.728333333333333</v>
      </c>
      <c r="Q122" s="134">
        <f t="shared" ref="Q122:Q130" si="162">AVERAGE(N122:P122)</f>
        <v>13.063333333333333</v>
      </c>
      <c r="R122" s="135">
        <f t="shared" ref="R122:R130" si="163">_xlfn.STDEV.S(N122:P122)</f>
        <v>1.4522138272306875</v>
      </c>
      <c r="S122" s="135">
        <f t="shared" ref="S122:S130" si="164">_xlfn.CONFIDENCE.NORM(0.05, R122, 3)</f>
        <v>1.6433044497224041</v>
      </c>
      <c r="T122" s="135">
        <f t="shared" si="89"/>
        <v>10.158905678871957</v>
      </c>
      <c r="U122" s="135">
        <f t="shared" si="90"/>
        <v>15.967760987794708</v>
      </c>
      <c r="V122" s="136" t="str">
        <f t="shared" si="91"/>
        <v/>
      </c>
      <c r="W122" s="136" t="str">
        <f t="shared" si="92"/>
        <v/>
      </c>
      <c r="X122" s="138" t="str">
        <f t="shared" si="93"/>
        <v/>
      </c>
      <c r="Y122" s="194"/>
      <c r="Z122" s="106">
        <f t="shared" si="158"/>
        <v>2.6107563887695596E-3</v>
      </c>
      <c r="AA122" s="107" t="str">
        <f t="shared" ref="AA122:AA130" si="165">IF(Z122&lt;0.05,"YES","NO")</f>
        <v>YES</v>
      </c>
      <c r="AB122" s="7"/>
    </row>
    <row r="123" spans="1:28" x14ac:dyDescent="0.35">
      <c r="A123" s="28" t="s">
        <v>3</v>
      </c>
      <c r="B123" s="139">
        <f>AVERAGE('Raw results fibers'!Z16:Z21)</f>
        <v>11.393333333333336</v>
      </c>
      <c r="C123" s="135">
        <f>AVERAGE('Raw results fibers'!AA16:AA21)</f>
        <v>10.931666666666667</v>
      </c>
      <c r="D123" s="138">
        <f>AVERAGE('Raw results fibers'!AB16:AB21)</f>
        <v>10.998333333333333</v>
      </c>
      <c r="E123" s="134">
        <f t="shared" si="159"/>
        <v>11.107777777777779</v>
      </c>
      <c r="F123" s="135">
        <f t="shared" si="160"/>
        <v>0.24953475227429434</v>
      </c>
      <c r="G123" s="135">
        <f t="shared" si="161"/>
        <v>0.28236996582982299</v>
      </c>
      <c r="H123" s="135">
        <f t="shared" si="84"/>
        <v>10.60870827322919</v>
      </c>
      <c r="I123" s="136">
        <f t="shared" si="85"/>
        <v>11.606847282326367</v>
      </c>
      <c r="J123" s="136" t="str">
        <f t="shared" si="86"/>
        <v/>
      </c>
      <c r="K123" s="136" t="str">
        <f t="shared" si="87"/>
        <v/>
      </c>
      <c r="L123" s="136" t="str">
        <f t="shared" si="88"/>
        <v/>
      </c>
      <c r="M123" s="140"/>
      <c r="N123" s="139">
        <f>AVERAGE('Raw results fibers'!AC16:AC21)</f>
        <v>10.923333333333332</v>
      </c>
      <c r="O123" s="135">
        <f>AVERAGE('Raw results fibers'!AD16:AD21)</f>
        <v>10.795</v>
      </c>
      <c r="P123" s="138">
        <f>AVERAGE('Raw results fibers'!AE16:AE21)</f>
        <v>10.401666666666666</v>
      </c>
      <c r="Q123" s="134">
        <f t="shared" si="162"/>
        <v>10.706666666666665</v>
      </c>
      <c r="R123" s="135">
        <f t="shared" si="163"/>
        <v>0.2718199976291501</v>
      </c>
      <c r="S123" s="135">
        <f t="shared" si="164"/>
        <v>0.30758763155376501</v>
      </c>
      <c r="T123" s="135">
        <f t="shared" si="89"/>
        <v>10.163026671408366</v>
      </c>
      <c r="U123" s="135">
        <f t="shared" si="90"/>
        <v>11.250306661924965</v>
      </c>
      <c r="V123" s="136" t="str">
        <f t="shared" si="91"/>
        <v/>
      </c>
      <c r="W123" s="136" t="str">
        <f t="shared" si="92"/>
        <v/>
      </c>
      <c r="X123" s="138" t="str">
        <f t="shared" si="93"/>
        <v/>
      </c>
      <c r="Y123" s="194"/>
      <c r="Z123" s="106">
        <f t="shared" si="158"/>
        <v>9.9773016729665986E-2</v>
      </c>
      <c r="AA123" s="107" t="str">
        <f t="shared" si="165"/>
        <v>NO</v>
      </c>
      <c r="AB123" s="7"/>
    </row>
    <row r="124" spans="1:28" x14ac:dyDescent="0.35">
      <c r="A124" s="28" t="s">
        <v>0</v>
      </c>
      <c r="B124" s="139">
        <f>AVERAGE('Raw results fibers'!Z22:Z27)</f>
        <v>19.436666666666667</v>
      </c>
      <c r="C124" s="135">
        <f>AVERAGE('Raw results fibers'!AA22:AA27)</f>
        <v>17.77</v>
      </c>
      <c r="D124" s="138">
        <f>AVERAGE('Raw results fibers'!AB22:AB27)</f>
        <v>19.711666666666666</v>
      </c>
      <c r="E124" s="134">
        <f t="shared" si="159"/>
        <v>18.972777777777775</v>
      </c>
      <c r="F124" s="135">
        <f t="shared" si="160"/>
        <v>1.0506721834316533</v>
      </c>
      <c r="G124" s="135">
        <f t="shared" si="161"/>
        <v>1.1889256539619213</v>
      </c>
      <c r="H124" s="135">
        <f t="shared" si="84"/>
        <v>16.87143341091447</v>
      </c>
      <c r="I124" s="136">
        <f t="shared" si="85"/>
        <v>21.07412214464108</v>
      </c>
      <c r="J124" s="136" t="str">
        <f t="shared" si="86"/>
        <v/>
      </c>
      <c r="K124" s="136" t="str">
        <f t="shared" si="87"/>
        <v/>
      </c>
      <c r="L124" s="136" t="str">
        <f t="shared" si="88"/>
        <v/>
      </c>
      <c r="M124" s="140"/>
      <c r="N124" s="139">
        <f>AVERAGE('Raw results fibers'!AC22:AC27)</f>
        <v>18.105</v>
      </c>
      <c r="O124" s="135">
        <f>AVERAGE('Raw results fibers'!AD22:AD27)</f>
        <v>16.988333333333333</v>
      </c>
      <c r="P124" s="138">
        <f>AVERAGE('Raw results fibers'!AE22:AE27)</f>
        <v>17.46166666666667</v>
      </c>
      <c r="Q124" s="134">
        <f t="shared" si="162"/>
        <v>17.518333333333334</v>
      </c>
      <c r="R124" s="135">
        <f t="shared" si="163"/>
        <v>0.56048590030833478</v>
      </c>
      <c r="S124" s="135">
        <f t="shared" si="164"/>
        <v>0.63423784893975088</v>
      </c>
      <c r="T124" s="135">
        <f t="shared" si="89"/>
        <v>16.397361532716666</v>
      </c>
      <c r="U124" s="135">
        <f t="shared" si="90"/>
        <v>18.639305133950003</v>
      </c>
      <c r="V124" s="136" t="str">
        <f t="shared" si="91"/>
        <v/>
      </c>
      <c r="W124" s="136" t="str">
        <f t="shared" si="92"/>
        <v/>
      </c>
      <c r="X124" s="138" t="str">
        <f t="shared" si="93"/>
        <v/>
      </c>
      <c r="Y124" s="194"/>
      <c r="Z124" s="106">
        <f t="shared" si="158"/>
        <v>7.6851038547828487E-2</v>
      </c>
      <c r="AA124" s="107" t="str">
        <f t="shared" si="165"/>
        <v>NO</v>
      </c>
      <c r="AB124" s="7"/>
    </row>
    <row r="125" spans="1:28" x14ac:dyDescent="0.35">
      <c r="A125" s="28" t="s">
        <v>4</v>
      </c>
      <c r="B125" s="139">
        <f>AVERAGE('Raw results fibers'!Z28:Z33)</f>
        <v>18.231666666666669</v>
      </c>
      <c r="C125" s="135">
        <f>AVERAGE('Raw results fibers'!AA28:AA33)</f>
        <v>18.596666666666668</v>
      </c>
      <c r="D125" s="138">
        <f>AVERAGE('Raw results fibers'!AB28:AB33)</f>
        <v>17.605</v>
      </c>
      <c r="E125" s="134">
        <f t="shared" si="159"/>
        <v>18.144444444444446</v>
      </c>
      <c r="F125" s="135">
        <f t="shared" si="160"/>
        <v>0.50155406635923305</v>
      </c>
      <c r="G125" s="135">
        <f t="shared" si="161"/>
        <v>0.56755142636000155</v>
      </c>
      <c r="H125" s="135">
        <f t="shared" si="84"/>
        <v>17.141336311725979</v>
      </c>
      <c r="I125" s="136">
        <f t="shared" si="85"/>
        <v>19.147552577162912</v>
      </c>
      <c r="J125" s="136" t="str">
        <f t="shared" si="86"/>
        <v/>
      </c>
      <c r="K125" s="136" t="str">
        <f t="shared" si="87"/>
        <v/>
      </c>
      <c r="L125" s="136" t="str">
        <f t="shared" si="88"/>
        <v/>
      </c>
      <c r="M125" s="140"/>
      <c r="N125" s="139">
        <f>AVERAGE('Raw results fibers'!AC28:AC33)</f>
        <v>17.934999999999999</v>
      </c>
      <c r="O125" s="135">
        <f>AVERAGE('Raw results fibers'!AD28:AD33)</f>
        <v>18.869999999999997</v>
      </c>
      <c r="P125" s="138">
        <f>AVERAGE('Raw results fibers'!AE28:AE33)</f>
        <v>16.996666666666666</v>
      </c>
      <c r="Q125" s="134">
        <f t="shared" si="162"/>
        <v>17.933888888888887</v>
      </c>
      <c r="R125" s="135">
        <f t="shared" si="163"/>
        <v>0.9366671609330437</v>
      </c>
      <c r="S125" s="135">
        <f t="shared" si="164"/>
        <v>1.0599191968894617</v>
      </c>
      <c r="T125" s="135">
        <f t="shared" si="89"/>
        <v>16.060554567022798</v>
      </c>
      <c r="U125" s="135">
        <f t="shared" si="90"/>
        <v>19.807223210754977</v>
      </c>
      <c r="V125" s="136" t="str">
        <f t="shared" si="91"/>
        <v/>
      </c>
      <c r="W125" s="136" t="str">
        <f t="shared" si="92"/>
        <v/>
      </c>
      <c r="X125" s="138" t="str">
        <f t="shared" si="93"/>
        <v/>
      </c>
      <c r="Y125" s="194"/>
      <c r="Z125" s="106">
        <f t="shared" si="158"/>
        <v>0.50036986995289479</v>
      </c>
      <c r="AA125" s="107" t="str">
        <f t="shared" si="165"/>
        <v>NO</v>
      </c>
      <c r="AB125" s="7"/>
    </row>
    <row r="126" spans="1:28" x14ac:dyDescent="0.35">
      <c r="A126" s="28" t="s">
        <v>5</v>
      </c>
      <c r="B126" s="139">
        <f>AVERAGE('Raw results fibers'!Z34:Z39)</f>
        <v>20.508333333333333</v>
      </c>
      <c r="C126" s="135">
        <f>AVERAGE('Raw results fibers'!AA34:AA39)</f>
        <v>18.933333333333334</v>
      </c>
      <c r="D126" s="138">
        <f>AVERAGE('Raw results fibers'!AB34:AB39)</f>
        <v>18.033333333333335</v>
      </c>
      <c r="E126" s="134">
        <f t="shared" si="159"/>
        <v>19.158333333333331</v>
      </c>
      <c r="F126" s="135">
        <f t="shared" si="160"/>
        <v>1.2527469816367538</v>
      </c>
      <c r="G126" s="135">
        <f t="shared" si="161"/>
        <v>1.4175906128271341</v>
      </c>
      <c r="H126" s="135">
        <f t="shared" si="84"/>
        <v>16.652839370059823</v>
      </c>
      <c r="I126" s="136">
        <f t="shared" si="85"/>
        <v>21.66382729660684</v>
      </c>
      <c r="J126" s="136" t="str">
        <f t="shared" si="86"/>
        <v/>
      </c>
      <c r="K126" s="136" t="str">
        <f t="shared" si="87"/>
        <v/>
      </c>
      <c r="L126" s="136" t="str">
        <f t="shared" si="88"/>
        <v/>
      </c>
      <c r="M126" s="140"/>
      <c r="N126" s="139">
        <f>AVERAGE('Raw results fibers'!AC34:AC39)</f>
        <v>17.48</v>
      </c>
      <c r="O126" s="135">
        <f>AVERAGE('Raw results fibers'!AD34:AD39)</f>
        <v>14.338333333333333</v>
      </c>
      <c r="P126" s="138">
        <f>AVERAGE('Raw results fibers'!AE34:AE39)</f>
        <v>18.89833333333333</v>
      </c>
      <c r="Q126" s="134">
        <f t="shared" si="162"/>
        <v>16.905555555555555</v>
      </c>
      <c r="R126" s="135">
        <f t="shared" si="163"/>
        <v>2.3336430350022974</v>
      </c>
      <c r="S126" s="135">
        <f t="shared" si="164"/>
        <v>2.6407171668348197</v>
      </c>
      <c r="T126" s="135">
        <f t="shared" si="89"/>
        <v>12.23826948555096</v>
      </c>
      <c r="U126" s="135">
        <f t="shared" si="90"/>
        <v>21.572841625560152</v>
      </c>
      <c r="V126" s="136" t="str">
        <f t="shared" si="91"/>
        <v/>
      </c>
      <c r="W126" s="136" t="str">
        <f t="shared" si="92"/>
        <v/>
      </c>
      <c r="X126" s="138" t="str">
        <f t="shared" si="93"/>
        <v/>
      </c>
      <c r="Y126" s="194"/>
      <c r="Z126" s="106">
        <f t="shared" si="158"/>
        <v>0.2995667876370578</v>
      </c>
      <c r="AA126" s="107" t="str">
        <f t="shared" si="165"/>
        <v>NO</v>
      </c>
      <c r="AB126" s="7"/>
    </row>
    <row r="127" spans="1:28" x14ac:dyDescent="0.35">
      <c r="A127" s="28" t="s">
        <v>6</v>
      </c>
      <c r="B127" s="139">
        <f>AVERAGE('Raw results fibers'!Z40:Z45)</f>
        <v>19.974999999999998</v>
      </c>
      <c r="C127" s="135">
        <f>AVERAGE('Raw results fibers'!AA40:AA45)</f>
        <v>18.574999999999999</v>
      </c>
      <c r="D127" s="138">
        <f>AVERAGE('Raw results fibers'!AB40:AB45)</f>
        <v>20.473333333333333</v>
      </c>
      <c r="E127" s="134">
        <f t="shared" si="159"/>
        <v>19.674444444444443</v>
      </c>
      <c r="F127" s="135">
        <f t="shared" si="160"/>
        <v>0.98420912035633579</v>
      </c>
      <c r="G127" s="135">
        <f t="shared" si="161"/>
        <v>1.1137169999428873</v>
      </c>
      <c r="H127" s="135">
        <f t="shared" si="84"/>
        <v>17.706026203731771</v>
      </c>
      <c r="I127" s="136">
        <f t="shared" si="85"/>
        <v>21.642862685157116</v>
      </c>
      <c r="J127" s="136" t="str">
        <f t="shared" si="86"/>
        <v/>
      </c>
      <c r="K127" s="136" t="str">
        <f t="shared" si="87"/>
        <v/>
      </c>
      <c r="L127" s="136" t="str">
        <f t="shared" si="88"/>
        <v/>
      </c>
      <c r="M127" s="140"/>
      <c r="N127" s="139">
        <f>AVERAGE('Raw results fibers'!AC40:AC45)</f>
        <v>18.726666666666667</v>
      </c>
      <c r="O127" s="135">
        <f>AVERAGE('Raw results fibers'!AD40:AD45)</f>
        <v>19.928333333333331</v>
      </c>
      <c r="P127" s="138">
        <f>AVERAGE('Raw results fibers'!AE40:AE45)</f>
        <v>10.36</v>
      </c>
      <c r="Q127" s="134">
        <f t="shared" si="162"/>
        <v>16.338333333333335</v>
      </c>
      <c r="R127" s="135">
        <f t="shared" si="163"/>
        <v>5.2121351457706577</v>
      </c>
      <c r="S127" s="135">
        <f t="shared" si="164"/>
        <v>5.8979777750311033</v>
      </c>
      <c r="T127" s="135">
        <f t="shared" si="89"/>
        <v>5.9140630417920192</v>
      </c>
      <c r="U127" s="135">
        <f t="shared" si="90"/>
        <v>26.76260362487465</v>
      </c>
      <c r="V127" s="136" t="str">
        <f t="shared" si="91"/>
        <v/>
      </c>
      <c r="W127" s="136" t="str">
        <f t="shared" si="92"/>
        <v/>
      </c>
      <c r="X127" s="138" t="str">
        <f t="shared" si="93"/>
        <v/>
      </c>
      <c r="Y127" s="194"/>
      <c r="Z127" s="106">
        <f t="shared" si="158"/>
        <v>0.43788315647591358</v>
      </c>
      <c r="AA127" s="107" t="str">
        <f t="shared" si="165"/>
        <v>NO</v>
      </c>
      <c r="AB127" s="7"/>
    </row>
    <row r="128" spans="1:28" x14ac:dyDescent="0.35">
      <c r="A128" s="28" t="s">
        <v>42</v>
      </c>
      <c r="B128" s="139">
        <f>AVERAGE('Raw results fibers'!Z46:Z51)</f>
        <v>11.253333333333336</v>
      </c>
      <c r="C128" s="135"/>
      <c r="D128" s="138">
        <f>AVERAGE('Raw results fibers'!AB46:AB51)</f>
        <v>11.808333333333332</v>
      </c>
      <c r="E128" s="134">
        <f t="shared" si="159"/>
        <v>11.530833333333334</v>
      </c>
      <c r="F128" s="135">
        <f t="shared" si="160"/>
        <v>0.39244426355853113</v>
      </c>
      <c r="G128" s="135">
        <f t="shared" si="161"/>
        <v>0.44408433006286296</v>
      </c>
      <c r="H128" s="135">
        <f t="shared" si="84"/>
        <v>10.745944806216272</v>
      </c>
      <c r="I128" s="136">
        <f t="shared" si="85"/>
        <v>12.315721860450395</v>
      </c>
      <c r="J128" s="136" t="str">
        <f t="shared" si="86"/>
        <v/>
      </c>
      <c r="K128" s="136"/>
      <c r="L128" s="136" t="str">
        <f t="shared" si="88"/>
        <v/>
      </c>
      <c r="M128" s="140"/>
      <c r="N128" s="139">
        <f>AVERAGE('Raw results fibers'!AC46:AC51)</f>
        <v>11.736666666666666</v>
      </c>
      <c r="O128" s="135"/>
      <c r="P128" s="138">
        <f>AVERAGE('Raw results fibers'!AE46:AE51)</f>
        <v>12.416666666666666</v>
      </c>
      <c r="Q128" s="134">
        <f t="shared" si="162"/>
        <v>12.076666666666666</v>
      </c>
      <c r="R128" s="135">
        <f t="shared" si="163"/>
        <v>0.48083261120685211</v>
      </c>
      <c r="S128" s="135">
        <f t="shared" si="164"/>
        <v>0.54410332332026812</v>
      </c>
      <c r="T128" s="135">
        <f t="shared" si="89"/>
        <v>11.115001444252963</v>
      </c>
      <c r="U128" s="135">
        <f t="shared" si="90"/>
        <v>13.03833188908037</v>
      </c>
      <c r="V128" s="136" t="str">
        <f t="shared" si="91"/>
        <v/>
      </c>
      <c r="W128" s="136"/>
      <c r="X128" s="138" t="str">
        <f t="shared" si="93"/>
        <v/>
      </c>
      <c r="Y128" s="194"/>
      <c r="Z128" s="106">
        <f t="shared" si="158"/>
        <v>7.2579296531695855E-2</v>
      </c>
      <c r="AA128" s="107" t="str">
        <f t="shared" si="165"/>
        <v>NO</v>
      </c>
      <c r="AB128" s="7"/>
    </row>
    <row r="129" spans="1:28" x14ac:dyDescent="0.35">
      <c r="A129" s="37" t="s">
        <v>8</v>
      </c>
      <c r="B129" s="141">
        <f>AVERAGE('Raw results fibers'!Z58:Z63)</f>
        <v>19.743333333333332</v>
      </c>
      <c r="C129" s="141">
        <f>AVERAGE('Raw results fibers'!AA58:AA63)</f>
        <v>24.16333333333333</v>
      </c>
      <c r="D129" s="141">
        <f>AVERAGE('Raw results fibers'!AB58:AB63)</f>
        <v>22.283333333333331</v>
      </c>
      <c r="E129" s="134">
        <f t="shared" ref="E129" si="166">AVERAGE(B129:D129)</f>
        <v>22.063333333333333</v>
      </c>
      <c r="F129" s="135">
        <f t="shared" ref="F129" si="167">_xlfn.STDEV.S(B129:D129)</f>
        <v>2.2181974664127622</v>
      </c>
      <c r="G129" s="135">
        <f t="shared" ref="G129" si="168">_xlfn.CONFIDENCE.NORM(0.05, F129, 3)</f>
        <v>2.5100806083565894</v>
      </c>
      <c r="H129" s="135">
        <f t="shared" ref="H129" si="169">E129-2*F129</f>
        <v>17.626938400507807</v>
      </c>
      <c r="I129" s="136">
        <f t="shared" ref="I129" si="170">E129+2*F129</f>
        <v>26.499728266158858</v>
      </c>
      <c r="J129" s="142"/>
      <c r="K129" s="142"/>
      <c r="L129" s="142"/>
      <c r="M129" s="143"/>
      <c r="N129" s="141">
        <f>AVERAGE('Raw results fibers'!AC58:AC63)</f>
        <v>27.594999999999999</v>
      </c>
      <c r="O129" s="141">
        <f>AVERAGE('Raw results fibers'!AD58:AD63)</f>
        <v>21.95</v>
      </c>
      <c r="P129" s="141">
        <f>AVERAGE('Raw results fibers'!AE58:AE63)</f>
        <v>35.071666666666665</v>
      </c>
      <c r="Q129" s="134">
        <f t="shared" ref="Q129" si="171">AVERAGE(N129:P129)</f>
        <v>28.205555555555559</v>
      </c>
      <c r="R129" s="135">
        <f t="shared" ref="R129" si="172">_xlfn.STDEV.S(N129:P129)</f>
        <v>6.5821058630648386</v>
      </c>
      <c r="S129" s="135">
        <f t="shared" ref="S129" si="173">_xlfn.CONFIDENCE.NORM(0.05, R129, 3)</f>
        <v>7.4482170948232982</v>
      </c>
      <c r="T129" s="135">
        <f t="shared" ref="T129" si="174">Q129-2*R129</f>
        <v>15.041343829425882</v>
      </c>
      <c r="U129" s="135">
        <f t="shared" ref="U129" si="175">Q129+2*R129</f>
        <v>41.369767281685235</v>
      </c>
      <c r="V129" s="142"/>
      <c r="W129" s="142"/>
      <c r="X129" s="144"/>
      <c r="Y129" s="194"/>
      <c r="Z129" s="106">
        <f t="shared" si="158"/>
        <v>0.29864444725450234</v>
      </c>
      <c r="AA129" s="107" t="str">
        <f t="shared" si="165"/>
        <v>NO</v>
      </c>
      <c r="AB129" s="7"/>
    </row>
    <row r="130" spans="1:28" ht="15" thickBot="1" x14ac:dyDescent="0.4">
      <c r="A130" s="29" t="s">
        <v>43</v>
      </c>
      <c r="B130" s="145">
        <f>AVERAGE('Raw results fibers'!Z52:Z57)</f>
        <v>20.259999999999998</v>
      </c>
      <c r="C130" s="146">
        <f>AVERAGE('Raw results fibers'!AA52:AA57)</f>
        <v>20.471666666666668</v>
      </c>
      <c r="D130" s="147">
        <f>AVERAGE('Raw results fibers'!AB52:AB57)</f>
        <v>20.658333333333335</v>
      </c>
      <c r="E130" s="148">
        <f t="shared" si="159"/>
        <v>20.463333333333335</v>
      </c>
      <c r="F130" s="146">
        <f t="shared" si="160"/>
        <v>0.19929737691310737</v>
      </c>
      <c r="G130" s="146">
        <f t="shared" si="161"/>
        <v>0.22552206855367404</v>
      </c>
      <c r="H130" s="146">
        <f t="shared" si="84"/>
        <v>20.064738579507122</v>
      </c>
      <c r="I130" s="149">
        <f t="shared" si="85"/>
        <v>20.861928087159548</v>
      </c>
      <c r="J130" s="149" t="str">
        <f t="shared" si="86"/>
        <v/>
      </c>
      <c r="K130" s="149" t="str">
        <f t="shared" si="87"/>
        <v/>
      </c>
      <c r="L130" s="149" t="str">
        <f t="shared" si="88"/>
        <v/>
      </c>
      <c r="M130" s="150"/>
      <c r="N130" s="145">
        <f>AVERAGE('Raw results fibers'!AC52:AC57)</f>
        <v>20.364999999999998</v>
      </c>
      <c r="O130" s="146">
        <f>AVERAGE('Raw results fibers'!AD52:AD57)</f>
        <v>15.853333333333333</v>
      </c>
      <c r="P130" s="147">
        <f>AVERAGE('Raw results fibers'!AE52:AE57)</f>
        <v>17.418333333333333</v>
      </c>
      <c r="Q130" s="148">
        <f t="shared" si="162"/>
        <v>17.878888888888891</v>
      </c>
      <c r="R130" s="146">
        <f t="shared" si="163"/>
        <v>2.2908224707716904</v>
      </c>
      <c r="S130" s="146">
        <f t="shared" si="164"/>
        <v>2.5922620272263721</v>
      </c>
      <c r="T130" s="146">
        <f t="shared" si="89"/>
        <v>13.29724394734551</v>
      </c>
      <c r="U130" s="146">
        <f t="shared" si="90"/>
        <v>22.460533830432272</v>
      </c>
      <c r="V130" s="149" t="str">
        <f t="shared" si="91"/>
        <v/>
      </c>
      <c r="W130" s="149" t="str">
        <f t="shared" si="92"/>
        <v/>
      </c>
      <c r="X130" s="147" t="str">
        <f t="shared" si="93"/>
        <v/>
      </c>
      <c r="Y130" s="194"/>
      <c r="Z130" s="106">
        <f t="shared" si="158"/>
        <v>0.20666342334980414</v>
      </c>
      <c r="AA130" s="107" t="str">
        <f t="shared" si="165"/>
        <v>NO</v>
      </c>
      <c r="AB130" s="7"/>
    </row>
    <row r="131" spans="1:28" x14ac:dyDescent="0.35">
      <c r="A131" s="30" t="s">
        <v>47</v>
      </c>
      <c r="B131" s="163" t="s">
        <v>137</v>
      </c>
      <c r="C131" s="164"/>
      <c r="D131" s="195"/>
      <c r="E131" s="122"/>
      <c r="F131" s="122"/>
      <c r="G131" s="122"/>
      <c r="H131" s="154"/>
      <c r="I131" s="154"/>
      <c r="J131" s="154"/>
      <c r="K131" s="154"/>
      <c r="L131" s="155"/>
      <c r="M131" s="166"/>
      <c r="N131" s="163" t="s">
        <v>138</v>
      </c>
      <c r="O131" s="164"/>
      <c r="P131" s="165"/>
      <c r="Q131" s="191"/>
      <c r="R131" s="122"/>
      <c r="S131" s="122"/>
      <c r="T131" s="154"/>
      <c r="U131" s="154"/>
      <c r="V131" s="155"/>
      <c r="W131" s="155" t="str">
        <f t="shared" si="92"/>
        <v/>
      </c>
      <c r="X131" s="157" t="str">
        <f t="shared" si="93"/>
        <v/>
      </c>
      <c r="Y131" s="111"/>
      <c r="Z131" s="106"/>
      <c r="AA131" s="107"/>
      <c r="AB131" s="7"/>
    </row>
    <row r="132" spans="1:28" ht="15" thickBot="1" x14ac:dyDescent="0.4">
      <c r="A132" s="31" t="s">
        <v>48</v>
      </c>
      <c r="B132" s="167" t="s">
        <v>50</v>
      </c>
      <c r="C132" s="168"/>
      <c r="D132" s="196"/>
      <c r="E132" s="107"/>
      <c r="F132" s="107"/>
      <c r="G132" s="107"/>
      <c r="H132" s="135"/>
      <c r="I132" s="135"/>
      <c r="J132" s="135"/>
      <c r="K132" s="135"/>
      <c r="L132" s="136"/>
      <c r="M132" s="170"/>
      <c r="N132" s="167" t="s">
        <v>50</v>
      </c>
      <c r="O132" s="168"/>
      <c r="P132" s="169"/>
      <c r="Q132" s="161"/>
      <c r="R132" s="107"/>
      <c r="S132" s="107"/>
      <c r="T132" s="135"/>
      <c r="U132" s="135"/>
      <c r="V132" s="136"/>
      <c r="W132" s="136" t="str">
        <f t="shared" si="92"/>
        <v/>
      </c>
      <c r="X132" s="138" t="str">
        <f t="shared" si="93"/>
        <v/>
      </c>
      <c r="Y132" s="111"/>
      <c r="Z132" s="106"/>
      <c r="AA132" s="107"/>
      <c r="AB132" s="7"/>
    </row>
    <row r="133" spans="1:28" ht="15" thickBot="1" x14ac:dyDescent="0.4">
      <c r="A133" s="28" t="s">
        <v>49</v>
      </c>
      <c r="B133" s="115">
        <v>1</v>
      </c>
      <c r="C133" s="116">
        <v>2</v>
      </c>
      <c r="D133" s="114">
        <v>3</v>
      </c>
      <c r="E133" s="161" t="s">
        <v>30</v>
      </c>
      <c r="F133" s="107" t="s">
        <v>31</v>
      </c>
      <c r="G133" s="107" t="s">
        <v>51</v>
      </c>
      <c r="H133" s="107" t="s">
        <v>52</v>
      </c>
      <c r="I133" s="107" t="s">
        <v>53</v>
      </c>
      <c r="J133" s="107" t="s">
        <v>54</v>
      </c>
      <c r="K133" s="107" t="s">
        <v>55</v>
      </c>
      <c r="L133" s="107" t="s">
        <v>56</v>
      </c>
      <c r="M133" s="162" t="s">
        <v>57</v>
      </c>
      <c r="N133" s="115">
        <v>1</v>
      </c>
      <c r="O133" s="116">
        <v>2</v>
      </c>
      <c r="P133" s="114">
        <v>3</v>
      </c>
      <c r="Q133" s="161" t="s">
        <v>30</v>
      </c>
      <c r="R133" s="107" t="s">
        <v>31</v>
      </c>
      <c r="S133" s="107" t="s">
        <v>51</v>
      </c>
      <c r="T133" s="107" t="s">
        <v>52</v>
      </c>
      <c r="U133" s="107" t="s">
        <v>53</v>
      </c>
      <c r="V133" s="107" t="s">
        <v>54</v>
      </c>
      <c r="W133" s="107" t="s">
        <v>55</v>
      </c>
      <c r="X133" s="107" t="s">
        <v>56</v>
      </c>
      <c r="Y133" s="111"/>
      <c r="Z133" s="106"/>
      <c r="AA133" s="107"/>
      <c r="AB133" s="7"/>
    </row>
    <row r="134" spans="1:28" x14ac:dyDescent="0.35">
      <c r="A134" s="28" t="s">
        <v>2</v>
      </c>
      <c r="B134" s="139">
        <f>AVERAGE('Raw results fibers'!AF4:AF9)</f>
        <v>31.764999999999997</v>
      </c>
      <c r="C134" s="135">
        <f>AVERAGE('Raw results fibers'!AG4:AG9)</f>
        <v>28.268333333333331</v>
      </c>
      <c r="D134" s="138">
        <f>AVERAGE('Raw results fibers'!AH4:AH9)</f>
        <v>29.456666666666667</v>
      </c>
      <c r="E134" s="134">
        <f>AVERAGE(B134:D134)</f>
        <v>29.83</v>
      </c>
      <c r="F134" s="135">
        <f>_xlfn.STDEV.S(B134:D134)</f>
        <v>1.7779771589583979</v>
      </c>
      <c r="G134" s="135">
        <f>_xlfn.CONFIDENCE.NORM(0.05, F134, 3)</f>
        <v>2.0119335885906047</v>
      </c>
      <c r="H134" s="135">
        <f t="shared" si="84"/>
        <v>26.274045682083202</v>
      </c>
      <c r="I134" s="136">
        <f t="shared" si="85"/>
        <v>33.385954317916791</v>
      </c>
      <c r="J134" s="136" t="str">
        <f t="shared" si="86"/>
        <v/>
      </c>
      <c r="K134" s="136" t="str">
        <f t="shared" si="87"/>
        <v/>
      </c>
      <c r="L134" s="136" t="str">
        <f t="shared" si="88"/>
        <v/>
      </c>
      <c r="M134" s="140"/>
      <c r="N134" s="139">
        <f>AVERAGE('Raw results fibers'!AI4:AI9)</f>
        <v>11.623333333333335</v>
      </c>
      <c r="O134" s="135">
        <f>AVERAGE('Raw results fibers'!AJ4:AJ9)</f>
        <v>19.633333333333336</v>
      </c>
      <c r="P134" s="138">
        <f>AVERAGE('Raw results fibers'!AK4:AK9)</f>
        <v>53.085000000000001</v>
      </c>
      <c r="Q134" s="134">
        <f>AVERAGE(N134:P134)</f>
        <v>28.113888888888891</v>
      </c>
      <c r="R134" s="135">
        <f>_xlfn.STDEV.S(N134:P134)</f>
        <v>21.99334712117718</v>
      </c>
      <c r="S134" s="135">
        <f>_xlfn.CONFIDENCE.NORM(0.05, R134, 3)</f>
        <v>24.887357846909332</v>
      </c>
      <c r="T134" s="135">
        <f t="shared" si="89"/>
        <v>-15.87280535346547</v>
      </c>
      <c r="U134" s="135">
        <f t="shared" si="90"/>
        <v>72.100583131243255</v>
      </c>
      <c r="V134" s="136" t="str">
        <f t="shared" si="91"/>
        <v/>
      </c>
      <c r="W134" s="136" t="str">
        <f t="shared" si="92"/>
        <v/>
      </c>
      <c r="X134" s="138" t="str">
        <f t="shared" si="93"/>
        <v/>
      </c>
      <c r="Y134" s="194"/>
      <c r="Z134" s="106">
        <f>_xlfn.T.TEST(B134:D134,N134:P134,2,1)</f>
        <v>0.90776564323625564</v>
      </c>
      <c r="AA134" s="107" t="str">
        <f>IF(Z134&lt;0.05,"YES","NO")</f>
        <v>NO</v>
      </c>
      <c r="AB134" s="7"/>
    </row>
    <row r="135" spans="1:28" x14ac:dyDescent="0.35">
      <c r="A135" s="28" t="s">
        <v>1</v>
      </c>
      <c r="B135" s="139">
        <f>AVERAGE('Raw results fibers'!AF10:AF15)</f>
        <v>26.451666666666668</v>
      </c>
      <c r="C135" s="135">
        <f>AVERAGE('Raw results fibers'!AG10:AG15)</f>
        <v>29.063333333333333</v>
      </c>
      <c r="D135" s="138">
        <f>AVERAGE('Raw results fibers'!AH10:AH15)</f>
        <v>29.381666666666664</v>
      </c>
      <c r="E135" s="134">
        <f t="shared" ref="E135:E143" si="176">AVERAGE(B135:D135)</f>
        <v>28.298888888888886</v>
      </c>
      <c r="F135" s="135">
        <f t="shared" ref="F135:F143" si="177">_xlfn.STDEV.S(B135:D135)</f>
        <v>1.6076400347968061</v>
      </c>
      <c r="G135" s="135">
        <f t="shared" ref="G135:G143" si="178">_xlfn.CONFIDENCE.NORM(0.05, F135, 3)</f>
        <v>1.8191825289057857</v>
      </c>
      <c r="H135" s="135">
        <f t="shared" si="84"/>
        <v>25.083608819295275</v>
      </c>
      <c r="I135" s="136">
        <f t="shared" si="85"/>
        <v>31.514168958482497</v>
      </c>
      <c r="J135" s="136" t="str">
        <f t="shared" si="86"/>
        <v/>
      </c>
      <c r="K135" s="136" t="str">
        <f t="shared" si="87"/>
        <v/>
      </c>
      <c r="L135" s="136" t="str">
        <f t="shared" si="88"/>
        <v/>
      </c>
      <c r="M135" s="140"/>
      <c r="N135" s="139"/>
      <c r="O135" s="135"/>
      <c r="P135" s="138"/>
      <c r="Q135" s="134"/>
      <c r="R135" s="135"/>
      <c r="S135" s="135"/>
      <c r="T135" s="135"/>
      <c r="U135" s="135"/>
      <c r="V135" s="136"/>
      <c r="W135" s="136"/>
      <c r="X135" s="138"/>
      <c r="Y135" s="194"/>
      <c r="Z135" s="106"/>
      <c r="AA135" s="107"/>
      <c r="AB135" s="7"/>
    </row>
    <row r="136" spans="1:28" x14ac:dyDescent="0.35">
      <c r="A136" s="28" t="s">
        <v>3</v>
      </c>
      <c r="B136" s="139">
        <f>AVERAGE('Raw results fibers'!AF16:AF21)</f>
        <v>36.826666666666675</v>
      </c>
      <c r="C136" s="135">
        <f>AVERAGE('Raw results fibers'!AG16:AG21)</f>
        <v>36.44</v>
      </c>
      <c r="D136" s="138">
        <f>AVERAGE('Raw results fibers'!AH16:AH21)</f>
        <v>38.641666666666673</v>
      </c>
      <c r="E136" s="134">
        <f t="shared" si="176"/>
        <v>37.302777777777784</v>
      </c>
      <c r="F136" s="135">
        <f t="shared" si="177"/>
        <v>1.1755191918341343</v>
      </c>
      <c r="G136" s="135">
        <f t="shared" si="178"/>
        <v>1.3302007476122568</v>
      </c>
      <c r="H136" s="135">
        <f t="shared" si="84"/>
        <v>34.951739394109516</v>
      </c>
      <c r="I136" s="136">
        <f t="shared" si="85"/>
        <v>39.653816161446052</v>
      </c>
      <c r="J136" s="136" t="str">
        <f t="shared" si="86"/>
        <v/>
      </c>
      <c r="K136" s="136" t="str">
        <f t="shared" si="87"/>
        <v/>
      </c>
      <c r="L136" s="136" t="str">
        <f t="shared" si="88"/>
        <v/>
      </c>
      <c r="M136" s="140"/>
      <c r="N136" s="139"/>
      <c r="O136" s="135">
        <f>AVERAGE('Raw results fibers'!AJ16:AJ21)</f>
        <v>14.951666666666666</v>
      </c>
      <c r="P136" s="138">
        <f>AVERAGE('Raw results fibers'!AK16:AK21)</f>
        <v>12.969999999999999</v>
      </c>
      <c r="Q136" s="134">
        <f t="shared" ref="Q136:Q143" si="179">AVERAGE(N136:P136)</f>
        <v>13.960833333333333</v>
      </c>
      <c r="R136" s="135">
        <f t="shared" ref="R136:R143" si="180">_xlfn.STDEV.S(N136:P136)</f>
        <v>1.4012499380513421</v>
      </c>
      <c r="S136" s="135">
        <f t="shared" ref="S136:S143" si="181">_xlfn.CONFIDENCE.NORM(0.05, R136, 3)</f>
        <v>1.5856344397740179</v>
      </c>
      <c r="T136" s="135">
        <f t="shared" si="89"/>
        <v>11.158333457230649</v>
      </c>
      <c r="U136" s="135">
        <f t="shared" si="90"/>
        <v>16.763333209436016</v>
      </c>
      <c r="V136" s="136"/>
      <c r="W136" s="136" t="str">
        <f t="shared" si="92"/>
        <v/>
      </c>
      <c r="X136" s="138" t="str">
        <f t="shared" si="93"/>
        <v/>
      </c>
      <c r="Y136" s="194"/>
      <c r="Z136" s="106">
        <f>_xlfn.T.TEST(B136:D136,N136:P136,2,1)</f>
        <v>5.632400998568711E-2</v>
      </c>
      <c r="AA136" s="107" t="str">
        <f>IF(Z136&lt;0.05,"YES","NO")</f>
        <v>NO</v>
      </c>
      <c r="AB136" s="7"/>
    </row>
    <row r="137" spans="1:28" x14ac:dyDescent="0.35">
      <c r="A137" s="28" t="s">
        <v>0</v>
      </c>
      <c r="B137" s="139">
        <f>AVERAGE('Raw results fibers'!AF22:AF27)</f>
        <v>41.156666666666673</v>
      </c>
      <c r="C137" s="135">
        <f>AVERAGE('Raw results fibers'!AG22:AG27)</f>
        <v>42.936666666666667</v>
      </c>
      <c r="D137" s="138">
        <f>AVERAGE('Raw results fibers'!AH22:AH27)</f>
        <v>40.994999999999997</v>
      </c>
      <c r="E137" s="134">
        <f t="shared" si="176"/>
        <v>41.696111111111115</v>
      </c>
      <c r="F137" s="135">
        <f t="shared" si="177"/>
        <v>1.0773892484114513</v>
      </c>
      <c r="G137" s="135">
        <f t="shared" si="178"/>
        <v>1.2191583035494469</v>
      </c>
      <c r="H137" s="135">
        <f t="shared" si="84"/>
        <v>39.541332614288216</v>
      </c>
      <c r="I137" s="136">
        <f t="shared" si="85"/>
        <v>43.850889607934015</v>
      </c>
      <c r="J137" s="136" t="str">
        <f t="shared" si="86"/>
        <v/>
      </c>
      <c r="K137" s="136" t="str">
        <f t="shared" si="87"/>
        <v/>
      </c>
      <c r="L137" s="136" t="str">
        <f t="shared" si="88"/>
        <v/>
      </c>
      <c r="M137" s="140"/>
      <c r="N137" s="139">
        <f>AVERAGE('Raw results fibers'!AI22:AI27)</f>
        <v>40.401666666666664</v>
      </c>
      <c r="O137" s="135">
        <f>AVERAGE('Raw results fibers'!AJ22:AJ27)</f>
        <v>43.446666666666665</v>
      </c>
      <c r="P137" s="138">
        <f>AVERAGE('Raw results fibers'!AK22:AK27)</f>
        <v>39.083333333333336</v>
      </c>
      <c r="Q137" s="134">
        <f t="shared" si="179"/>
        <v>40.977222222222224</v>
      </c>
      <c r="R137" s="135">
        <f t="shared" si="180"/>
        <v>2.2378823902503426</v>
      </c>
      <c r="S137" s="135">
        <f t="shared" si="181"/>
        <v>2.5323557873475711</v>
      </c>
      <c r="T137" s="135">
        <f t="shared" si="89"/>
        <v>36.501457441721541</v>
      </c>
      <c r="U137" s="135">
        <f t="shared" si="90"/>
        <v>45.452987002722907</v>
      </c>
      <c r="V137" s="136" t="str">
        <f t="shared" si="91"/>
        <v/>
      </c>
      <c r="W137" s="136" t="str">
        <f t="shared" si="92"/>
        <v/>
      </c>
      <c r="X137" s="138" t="str">
        <f t="shared" si="93"/>
        <v/>
      </c>
      <c r="Y137" s="194"/>
      <c r="Z137" s="106">
        <f>_xlfn.T.TEST(B137:D137,N137:P137,2,1)</f>
        <v>0.41202235926295805</v>
      </c>
      <c r="AA137" s="107" t="str">
        <f>IF(Z137&lt;0.05,"YES","NO")</f>
        <v>NO</v>
      </c>
      <c r="AB137" s="7"/>
    </row>
    <row r="138" spans="1:28" x14ac:dyDescent="0.35">
      <c r="A138" s="28" t="s">
        <v>4</v>
      </c>
      <c r="B138" s="139">
        <f>AVERAGE('Raw results fibers'!AF28:AF33)</f>
        <v>37.953333333333326</v>
      </c>
      <c r="C138" s="135">
        <f>AVERAGE('Raw results fibers'!AG28:AG33)</f>
        <v>40.201666666666668</v>
      </c>
      <c r="D138" s="138">
        <f>AVERAGE('Raw results fibers'!AH28:AH33)</f>
        <v>39.784999999999997</v>
      </c>
      <c r="E138" s="134">
        <f t="shared" si="176"/>
        <v>39.313333333333333</v>
      </c>
      <c r="F138" s="135">
        <f t="shared" si="177"/>
        <v>1.196078081806446</v>
      </c>
      <c r="G138" s="135">
        <f t="shared" si="178"/>
        <v>1.3534648942133662</v>
      </c>
      <c r="H138" s="135">
        <f t="shared" si="84"/>
        <v>36.921177169720437</v>
      </c>
      <c r="I138" s="136">
        <f t="shared" si="85"/>
        <v>41.705489496946228</v>
      </c>
      <c r="J138" s="136" t="str">
        <f t="shared" si="86"/>
        <v/>
      </c>
      <c r="K138" s="136" t="str">
        <f t="shared" si="87"/>
        <v/>
      </c>
      <c r="L138" s="136" t="str">
        <f t="shared" si="88"/>
        <v/>
      </c>
      <c r="M138" s="140"/>
      <c r="N138" s="139"/>
      <c r="O138" s="135"/>
      <c r="P138" s="138"/>
      <c r="Q138" s="134"/>
      <c r="R138" s="135"/>
      <c r="S138" s="135"/>
      <c r="T138" s="135"/>
      <c r="U138" s="135"/>
      <c r="V138" s="136"/>
      <c r="W138" s="136"/>
      <c r="X138" s="138"/>
      <c r="Y138" s="194"/>
      <c r="Z138" s="106"/>
      <c r="AA138" s="107"/>
      <c r="AB138" s="7"/>
    </row>
    <row r="139" spans="1:28" x14ac:dyDescent="0.35">
      <c r="A139" s="28" t="s">
        <v>5</v>
      </c>
      <c r="B139" s="139">
        <f>AVERAGE('Raw results fibers'!AF34:AF39)</f>
        <v>25.156666666666666</v>
      </c>
      <c r="C139" s="135">
        <f>AVERAGE('Raw results fibers'!AG34:AG39)</f>
        <v>21.833333333333332</v>
      </c>
      <c r="D139" s="138">
        <f>AVERAGE('Raw results fibers'!AH34:AH39)</f>
        <v>37.151666666666671</v>
      </c>
      <c r="E139" s="134">
        <f t="shared" si="176"/>
        <v>28.047222222222221</v>
      </c>
      <c r="F139" s="135">
        <f t="shared" si="177"/>
        <v>8.0578730191405175</v>
      </c>
      <c r="G139" s="135">
        <f t="shared" si="178"/>
        <v>9.1181741554566997</v>
      </c>
      <c r="H139" s="135">
        <f t="shared" si="84"/>
        <v>11.931476183941186</v>
      </c>
      <c r="I139" s="136">
        <f t="shared" si="85"/>
        <v>44.162968260503256</v>
      </c>
      <c r="J139" s="136" t="str">
        <f t="shared" si="86"/>
        <v/>
      </c>
      <c r="K139" s="136" t="str">
        <f t="shared" si="87"/>
        <v/>
      </c>
      <c r="L139" s="136" t="str">
        <f t="shared" si="88"/>
        <v/>
      </c>
      <c r="M139" s="140"/>
      <c r="N139" s="139">
        <f>AVERAGE('Raw results fibers'!AI34:AI39)</f>
        <v>24.27333333333333</v>
      </c>
      <c r="O139" s="135">
        <f>AVERAGE('Raw results fibers'!AJ34:AJ39)</f>
        <v>32.226666666666667</v>
      </c>
      <c r="P139" s="138">
        <f>AVERAGE('Raw results fibers'!AK34:AK39)</f>
        <v>38.138333333333335</v>
      </c>
      <c r="Q139" s="134">
        <f t="shared" si="179"/>
        <v>31.546111111111113</v>
      </c>
      <c r="R139" s="135">
        <f t="shared" si="180"/>
        <v>6.9575084008679307</v>
      </c>
      <c r="S139" s="135">
        <f t="shared" si="181"/>
        <v>7.8730172511372682</v>
      </c>
      <c r="T139" s="135">
        <f t="shared" si="89"/>
        <v>17.63109430937525</v>
      </c>
      <c r="U139" s="135">
        <f t="shared" si="90"/>
        <v>45.461127912846976</v>
      </c>
      <c r="V139" s="136" t="str">
        <f t="shared" si="91"/>
        <v/>
      </c>
      <c r="W139" s="136" t="str">
        <f t="shared" si="92"/>
        <v/>
      </c>
      <c r="X139" s="138" t="str">
        <f t="shared" si="93"/>
        <v/>
      </c>
      <c r="Y139" s="194"/>
      <c r="Z139" s="106">
        <f>_xlfn.T.TEST(B139:D139,N139:P139,2,1)</f>
        <v>0.42158609342147824</v>
      </c>
      <c r="AA139" s="107" t="str">
        <f>IF(Z139&lt;0.05,"YES","NO")</f>
        <v>NO</v>
      </c>
      <c r="AB139" s="7"/>
    </row>
    <row r="140" spans="1:28" x14ac:dyDescent="0.35">
      <c r="A140" s="28" t="s">
        <v>6</v>
      </c>
      <c r="B140" s="139">
        <f>AVERAGE('Raw results fibers'!AF40:AF45)</f>
        <v>25.513333333333332</v>
      </c>
      <c r="C140" s="135">
        <f>AVERAGE('Raw results fibers'!AG40:AG45)</f>
        <v>39.306666666666665</v>
      </c>
      <c r="D140" s="138">
        <f>AVERAGE('Raw results fibers'!AH40:AH45)</f>
        <v>36.529999999999994</v>
      </c>
      <c r="E140" s="134">
        <f t="shared" si="176"/>
        <v>33.783333333333331</v>
      </c>
      <c r="F140" s="135">
        <f t="shared" si="177"/>
        <v>7.2953508787750874</v>
      </c>
      <c r="G140" s="135">
        <f t="shared" si="178"/>
        <v>8.25531497950195</v>
      </c>
      <c r="H140" s="135">
        <f t="shared" si="84"/>
        <v>19.192631575783157</v>
      </c>
      <c r="I140" s="136">
        <f t="shared" si="85"/>
        <v>48.37403509088351</v>
      </c>
      <c r="J140" s="136" t="str">
        <f t="shared" si="86"/>
        <v/>
      </c>
      <c r="K140" s="136" t="str">
        <f t="shared" si="87"/>
        <v/>
      </c>
      <c r="L140" s="136" t="str">
        <f t="shared" si="88"/>
        <v/>
      </c>
      <c r="M140" s="140"/>
      <c r="N140" s="139">
        <f>AVERAGE('Raw results fibers'!AI40:AI45)</f>
        <v>19.011666666666667</v>
      </c>
      <c r="O140" s="135">
        <f>AVERAGE('Raw results fibers'!AJ40:AJ45)</f>
        <v>26.525000000000006</v>
      </c>
      <c r="P140" s="138">
        <f>AVERAGE('Raw results fibers'!AK40:AK45)</f>
        <v>32.853333333333339</v>
      </c>
      <c r="Q140" s="134">
        <f t="shared" si="179"/>
        <v>26.130000000000006</v>
      </c>
      <c r="R140" s="135">
        <f t="shared" si="180"/>
        <v>6.9292822700318544</v>
      </c>
      <c r="S140" s="135">
        <f t="shared" si="181"/>
        <v>7.8410769641549951</v>
      </c>
      <c r="T140" s="135">
        <f t="shared" si="89"/>
        <v>12.271435459936297</v>
      </c>
      <c r="U140" s="135">
        <f t="shared" si="90"/>
        <v>39.988564540063713</v>
      </c>
      <c r="V140" s="136" t="str">
        <f t="shared" si="91"/>
        <v/>
      </c>
      <c r="W140" s="136" t="str">
        <f t="shared" si="92"/>
        <v/>
      </c>
      <c r="X140" s="138" t="str">
        <f t="shared" si="93"/>
        <v/>
      </c>
      <c r="Y140" s="194"/>
      <c r="Z140" s="106">
        <f>_xlfn.T.TEST(B140:D140,N140:P140,2,1)</f>
        <v>0.10457324758410536</v>
      </c>
      <c r="AA140" s="107" t="str">
        <f t="shared" ref="AA140:AA143" si="182">IF(Z140&lt;0.05,"YES","NO")</f>
        <v>NO</v>
      </c>
      <c r="AB140" s="7"/>
    </row>
    <row r="141" spans="1:28" x14ac:dyDescent="0.35">
      <c r="A141" s="28" t="s">
        <v>42</v>
      </c>
      <c r="B141" s="139">
        <f>AVERAGE('Raw results fibers'!AF46:AF51)</f>
        <v>40.431666666666665</v>
      </c>
      <c r="C141" s="135">
        <f>AVERAGE('Raw results fibers'!AG46:AG51)</f>
        <v>42.378333333333337</v>
      </c>
      <c r="D141" s="138">
        <f>AVERAGE('Raw results fibers'!AH46:AH51)</f>
        <v>38.961666666666666</v>
      </c>
      <c r="E141" s="134">
        <f t="shared" si="176"/>
        <v>40.590555555555561</v>
      </c>
      <c r="F141" s="135">
        <f t="shared" si="177"/>
        <v>1.7138661082584736</v>
      </c>
      <c r="G141" s="135">
        <f t="shared" si="178"/>
        <v>1.9393864382219361</v>
      </c>
      <c r="H141" s="135">
        <f t="shared" si="84"/>
        <v>37.16282333903861</v>
      </c>
      <c r="I141" s="136">
        <f t="shared" si="85"/>
        <v>44.018287772072512</v>
      </c>
      <c r="J141" s="136" t="str">
        <f t="shared" si="86"/>
        <v/>
      </c>
      <c r="K141" s="136" t="str">
        <f t="shared" si="87"/>
        <v/>
      </c>
      <c r="L141" s="136" t="str">
        <f t="shared" si="88"/>
        <v/>
      </c>
      <c r="M141" s="140"/>
      <c r="N141" s="139">
        <f>AVERAGE('Raw results fibers'!AI46:AI51)</f>
        <v>40.39</v>
      </c>
      <c r="O141" s="135">
        <f>AVERAGE('Raw results fibers'!AJ46:AJ51)</f>
        <v>43.71</v>
      </c>
      <c r="P141" s="138">
        <f>AVERAGE('Raw results fibers'!AK46:AK51)</f>
        <v>40.428333333333335</v>
      </c>
      <c r="Q141" s="134">
        <f t="shared" si="179"/>
        <v>41.509444444444448</v>
      </c>
      <c r="R141" s="135">
        <f t="shared" si="180"/>
        <v>1.9058333940630607</v>
      </c>
      <c r="S141" s="135">
        <f t="shared" si="181"/>
        <v>2.1566138802477299</v>
      </c>
      <c r="T141" s="135">
        <f t="shared" si="89"/>
        <v>37.697777656318323</v>
      </c>
      <c r="U141" s="135">
        <f t="shared" si="90"/>
        <v>45.321111232570573</v>
      </c>
      <c r="V141" s="136" t="str">
        <f t="shared" si="91"/>
        <v/>
      </c>
      <c r="W141" s="136" t="str">
        <f t="shared" si="92"/>
        <v/>
      </c>
      <c r="X141" s="138" t="str">
        <f t="shared" si="93"/>
        <v/>
      </c>
      <c r="Y141" s="194"/>
      <c r="Z141" s="106">
        <f>_xlfn.T.TEST(B141:D141,N141:P141,2,1)</f>
        <v>0.19677292360733278</v>
      </c>
      <c r="AA141" s="107" t="str">
        <f t="shared" si="182"/>
        <v>NO</v>
      </c>
      <c r="AB141" s="7" t="s">
        <v>59</v>
      </c>
    </row>
    <row r="142" spans="1:28" x14ac:dyDescent="0.35">
      <c r="A142" s="37" t="s">
        <v>8</v>
      </c>
      <c r="B142" s="141">
        <f>AVERAGE('Raw results fibers'!AF58:AF63)</f>
        <v>48.308333333333337</v>
      </c>
      <c r="C142" s="141">
        <f>AVERAGE('Raw results fibers'!AG58:AG63)</f>
        <v>51.523333333333341</v>
      </c>
      <c r="D142" s="141"/>
      <c r="E142" s="134">
        <f t="shared" ref="E142" si="183">AVERAGE(B142:D142)</f>
        <v>49.915833333333339</v>
      </c>
      <c r="F142" s="135">
        <f t="shared" ref="F142" si="184">_xlfn.STDEV.S(B142:D142)</f>
        <v>2.2733483015147526</v>
      </c>
      <c r="G142" s="135">
        <f t="shared" ref="G142" si="185">_xlfn.CONFIDENCE.NORM(0.05, F142, 3)</f>
        <v>2.5724885065803891</v>
      </c>
      <c r="H142" s="135">
        <f t="shared" ref="H142" si="186">E142-2*F142</f>
        <v>45.369136730303836</v>
      </c>
      <c r="I142" s="136">
        <f t="shared" ref="I142" si="187">E142+2*F142</f>
        <v>54.462529936362841</v>
      </c>
      <c r="J142" s="142"/>
      <c r="K142" s="142"/>
      <c r="L142" s="142"/>
      <c r="M142" s="143"/>
      <c r="N142" s="141">
        <f>AVERAGE('Raw results fibers'!AI58:AI63)</f>
        <v>25.308999999999997</v>
      </c>
      <c r="O142" s="141">
        <f>AVERAGE('Raw results fibers'!AJ58:AJ63)</f>
        <v>50.181666666666665</v>
      </c>
      <c r="P142" s="144"/>
      <c r="Q142" s="134">
        <f t="shared" ref="Q142" si="188">AVERAGE(N142:P142)</f>
        <v>37.745333333333335</v>
      </c>
      <c r="R142" s="135">
        <f t="shared" ref="R142" si="189">_xlfn.STDEV.S(N142:P142)</f>
        <v>17.587631266192588</v>
      </c>
      <c r="S142" s="135">
        <f t="shared" ref="S142" si="190">_xlfn.CONFIDENCE.NORM(0.05, R142, 3)</f>
        <v>19.901912637015563</v>
      </c>
      <c r="T142" s="135">
        <f t="shared" ref="T142" si="191">Q142-2*R142</f>
        <v>2.5700708009481588</v>
      </c>
      <c r="U142" s="135">
        <f t="shared" ref="U142" si="192">Q142+2*R142</f>
        <v>72.920595865718511</v>
      </c>
      <c r="V142" s="142"/>
      <c r="W142" s="142"/>
      <c r="X142" s="144"/>
      <c r="Y142" s="194"/>
      <c r="Z142" s="106">
        <f>_xlfn.T.TEST(B142:D142,N142:P142,2,1)</f>
        <v>0.46290481005619294</v>
      </c>
      <c r="AA142" s="107" t="str">
        <f t="shared" si="182"/>
        <v>NO</v>
      </c>
      <c r="AB142" s="7"/>
    </row>
    <row r="143" spans="1:28" ht="15" thickBot="1" x14ac:dyDescent="0.4">
      <c r="A143" s="29" t="s">
        <v>43</v>
      </c>
      <c r="B143" s="145">
        <f>AVERAGE('Raw results fibers'!AF52:AF57)</f>
        <v>35.314999999999991</v>
      </c>
      <c r="C143" s="146">
        <f>AVERAGE('Raw results fibers'!AG52:AG57)</f>
        <v>34.506666666666668</v>
      </c>
      <c r="D143" s="147">
        <f>AVERAGE('Raw results fibers'!AH52:AH57)</f>
        <v>46.018333333333338</v>
      </c>
      <c r="E143" s="148">
        <f t="shared" si="176"/>
        <v>38.613333333333337</v>
      </c>
      <c r="F143" s="146">
        <f t="shared" si="177"/>
        <v>6.4256415589763574</v>
      </c>
      <c r="G143" s="146">
        <f t="shared" si="178"/>
        <v>7.2711643204246164</v>
      </c>
      <c r="H143" s="146">
        <f t="shared" si="84"/>
        <v>25.762050215380622</v>
      </c>
      <c r="I143" s="149">
        <f t="shared" si="85"/>
        <v>51.464616451286048</v>
      </c>
      <c r="J143" s="149" t="str">
        <f t="shared" si="86"/>
        <v/>
      </c>
      <c r="K143" s="149" t="str">
        <f t="shared" si="87"/>
        <v/>
      </c>
      <c r="L143" s="149" t="str">
        <f t="shared" si="88"/>
        <v/>
      </c>
      <c r="M143" s="150"/>
      <c r="N143" s="145">
        <f>AVERAGE('Raw results fibers'!AI52:AI57)</f>
        <v>33.44</v>
      </c>
      <c r="O143" s="146">
        <f>AVERAGE('Raw results fibers'!AJ52:AJ57)</f>
        <v>43.636666666666663</v>
      </c>
      <c r="P143" s="147">
        <f>AVERAGE('Raw results fibers'!AK52:AK57)</f>
        <v>41.650000000000006</v>
      </c>
      <c r="Q143" s="148">
        <f t="shared" si="179"/>
        <v>39.575555555555553</v>
      </c>
      <c r="R143" s="146">
        <f t="shared" si="180"/>
        <v>5.405598264077069</v>
      </c>
      <c r="S143" s="146">
        <f t="shared" si="181"/>
        <v>6.1168978797765279</v>
      </c>
      <c r="T143" s="146">
        <f t="shared" si="89"/>
        <v>28.764359027401415</v>
      </c>
      <c r="U143" s="146">
        <f t="shared" si="90"/>
        <v>50.386752083709695</v>
      </c>
      <c r="V143" s="149" t="str">
        <f t="shared" si="91"/>
        <v/>
      </c>
      <c r="W143" s="149" t="str">
        <f t="shared" si="92"/>
        <v/>
      </c>
      <c r="X143" s="147" t="str">
        <f t="shared" si="93"/>
        <v/>
      </c>
      <c r="Y143" s="194"/>
      <c r="Z143" s="106">
        <f>_xlfn.T.TEST(B143:D143,N143:P143,2,1)</f>
        <v>0.83808929393577458</v>
      </c>
      <c r="AA143" s="107" t="str">
        <f t="shared" si="182"/>
        <v>NO</v>
      </c>
      <c r="AB143" s="7"/>
    </row>
    <row r="144" spans="1:28" x14ac:dyDescent="0.35">
      <c r="A144" s="30" t="s">
        <v>47</v>
      </c>
      <c r="B144" s="197" t="s">
        <v>40</v>
      </c>
      <c r="C144" s="198"/>
      <c r="D144" s="199"/>
      <c r="E144" s="127"/>
      <c r="F144" s="127"/>
      <c r="G144" s="127"/>
      <c r="H144" s="132"/>
      <c r="I144" s="132"/>
      <c r="J144" s="132"/>
      <c r="K144" s="132"/>
      <c r="L144" s="200"/>
      <c r="M144" s="201"/>
      <c r="N144" s="197" t="s">
        <v>41</v>
      </c>
      <c r="O144" s="198"/>
      <c r="P144" s="202"/>
      <c r="Q144" s="203"/>
      <c r="R144" s="127"/>
      <c r="S144" s="127"/>
      <c r="T144" s="132"/>
      <c r="U144" s="132"/>
      <c r="V144" s="200"/>
      <c r="W144" s="200" t="str">
        <f t="shared" ref="W144:W156" si="193">+IF(OR(O144&lt;T144,O144&gt;U144),"Valeur aberrante","")</f>
        <v/>
      </c>
      <c r="X144" s="133" t="str">
        <f t="shared" ref="X144:X156" si="194">+IF(OR(P144&lt;T144,P144&gt;U144),"Valeur aberrante","")</f>
        <v/>
      </c>
      <c r="Y144" s="111"/>
      <c r="Z144" s="106"/>
      <c r="AA144" s="107"/>
      <c r="AB144" s="7"/>
    </row>
    <row r="145" spans="1:28" ht="15" thickBot="1" x14ac:dyDescent="0.4">
      <c r="A145" s="31" t="s">
        <v>48</v>
      </c>
      <c r="B145" s="167" t="s">
        <v>150</v>
      </c>
      <c r="C145" s="168"/>
      <c r="D145" s="196"/>
      <c r="E145" s="107"/>
      <c r="F145" s="107"/>
      <c r="G145" s="107"/>
      <c r="H145" s="135"/>
      <c r="I145" s="135"/>
      <c r="J145" s="135"/>
      <c r="K145" s="135"/>
      <c r="L145" s="136"/>
      <c r="M145" s="170"/>
      <c r="N145" s="167" t="s">
        <v>150</v>
      </c>
      <c r="O145" s="168"/>
      <c r="P145" s="169"/>
      <c r="Q145" s="161"/>
      <c r="R145" s="107"/>
      <c r="S145" s="107"/>
      <c r="T145" s="135"/>
      <c r="U145" s="135"/>
      <c r="V145" s="136"/>
      <c r="W145" s="136" t="str">
        <f t="shared" si="193"/>
        <v/>
      </c>
      <c r="X145" s="138" t="str">
        <f t="shared" si="194"/>
        <v/>
      </c>
      <c r="Y145" s="111"/>
      <c r="Z145" s="106"/>
      <c r="AA145" s="107"/>
      <c r="AB145" s="7"/>
    </row>
    <row r="146" spans="1:28" ht="15" thickBot="1" x14ac:dyDescent="0.4">
      <c r="A146" s="28" t="s">
        <v>49</v>
      </c>
      <c r="B146" s="115">
        <v>1</v>
      </c>
      <c r="C146" s="116">
        <v>2</v>
      </c>
      <c r="D146" s="114">
        <v>3</v>
      </c>
      <c r="E146" s="161" t="s">
        <v>30</v>
      </c>
      <c r="F146" s="107" t="s">
        <v>31</v>
      </c>
      <c r="G146" s="107" t="s">
        <v>51</v>
      </c>
      <c r="H146" s="107" t="s">
        <v>52</v>
      </c>
      <c r="I146" s="107" t="s">
        <v>53</v>
      </c>
      <c r="J146" s="107" t="s">
        <v>54</v>
      </c>
      <c r="K146" s="107" t="s">
        <v>55</v>
      </c>
      <c r="L146" s="107" t="s">
        <v>56</v>
      </c>
      <c r="M146" s="162" t="s">
        <v>57</v>
      </c>
      <c r="N146" s="115">
        <v>1</v>
      </c>
      <c r="O146" s="116">
        <v>2</v>
      </c>
      <c r="P146" s="114">
        <v>3</v>
      </c>
      <c r="Q146" s="161" t="s">
        <v>30</v>
      </c>
      <c r="R146" s="107" t="s">
        <v>31</v>
      </c>
      <c r="S146" s="107" t="s">
        <v>51</v>
      </c>
      <c r="T146" s="107" t="s">
        <v>52</v>
      </c>
      <c r="U146" s="107" t="s">
        <v>53</v>
      </c>
      <c r="V146" s="107" t="s">
        <v>54</v>
      </c>
      <c r="W146" s="107" t="s">
        <v>55</v>
      </c>
      <c r="X146" s="107" t="s">
        <v>56</v>
      </c>
      <c r="Y146" s="111"/>
      <c r="Z146" s="106"/>
      <c r="AA146" s="107"/>
      <c r="AB146" s="7"/>
    </row>
    <row r="147" spans="1:28" x14ac:dyDescent="0.35">
      <c r="A147" s="28" t="s">
        <v>2</v>
      </c>
      <c r="B147" s="204">
        <f>'Raw results fibers'!AM5/'Raw results fibers'!AM4</f>
        <v>7.6506450842774701E-2</v>
      </c>
      <c r="C147" s="32">
        <f>'Raw results fibers'!AN5/'Raw results fibers'!AN4</f>
        <v>0.13089809666070557</v>
      </c>
      <c r="D147" s="205">
        <f>'Raw results fibers'!AO5/'Raw results fibers'!AO4</f>
        <v>7.6758834885323313E-2</v>
      </c>
      <c r="E147" s="206">
        <f>AVERAGE(B147:D147)</f>
        <v>9.4721127462934526E-2</v>
      </c>
      <c r="F147" s="207">
        <f>_xlfn.STDEV.S(B147:D147)</f>
        <v>3.1330428494972556E-2</v>
      </c>
      <c r="G147" s="207">
        <f>_xlfn.CONFIDENCE.NORM(0.05, F147, 3)</f>
        <v>3.5453065927404527E-2</v>
      </c>
      <c r="H147" s="135">
        <f t="shared" ref="H147:H156" si="195">E147-2*F147</f>
        <v>3.2060270472989413E-2</v>
      </c>
      <c r="I147" s="136">
        <f t="shared" ref="I147:I156" si="196">E147+2*F147</f>
        <v>0.15738198445287965</v>
      </c>
      <c r="J147" s="136" t="str">
        <f t="shared" ref="J147:J156" si="197">+IF(OR(B147&lt;H147,B147&gt;I147),"Valeur aberrante","")</f>
        <v/>
      </c>
      <c r="K147" s="136" t="str">
        <f t="shared" ref="K147:K156" si="198">+IF(OR(C147&lt;H147,C147&gt;I147),"Valeur aberrante","")</f>
        <v/>
      </c>
      <c r="L147" s="136" t="str">
        <f t="shared" ref="L147:L156" si="199">+IF(OR(D147&lt;H147,D147&gt;I147),"Valeur aberrante","")</f>
        <v/>
      </c>
      <c r="M147" s="170" t="s">
        <v>59</v>
      </c>
      <c r="N147" s="204">
        <f>'Raw results fibers'!AP5/'Raw results fibers'!AP4</f>
        <v>0.17071968707244611</v>
      </c>
      <c r="O147" s="32">
        <f>'Raw results fibers'!AQ5/'Raw results fibers'!AQ4</f>
        <v>9.7113926477942272E-2</v>
      </c>
      <c r="P147" s="205">
        <f>'Raw results fibers'!AR5/'Raw results fibers'!AR4</f>
        <v>0.1327338805183596</v>
      </c>
      <c r="Q147" s="208">
        <f>AVERAGE(N147:P147)</f>
        <v>0.13352249802291599</v>
      </c>
      <c r="R147" s="32">
        <f>_xlfn.STDEV.S(N147:P147)</f>
        <v>3.6809216731006698E-2</v>
      </c>
      <c r="S147" s="32">
        <f>_xlfn.CONFIDENCE.NORM(0.05, R147, 3)</f>
        <v>4.1652784535325109E-2</v>
      </c>
      <c r="T147" s="135">
        <f t="shared" ref="T147:T156" si="200">Q147-2*R147</f>
        <v>5.9904064560902595E-2</v>
      </c>
      <c r="U147" s="135">
        <f t="shared" ref="U147:U156" si="201">Q147+2*R147</f>
        <v>0.2071409314849294</v>
      </c>
      <c r="V147" s="136" t="str">
        <f t="shared" ref="V147:V156" si="202">+IF(OR(N147&lt;T147,N147&gt;U147),"Valeur aberrante","")</f>
        <v/>
      </c>
      <c r="W147" s="136" t="str">
        <f t="shared" si="193"/>
        <v/>
      </c>
      <c r="X147" s="138" t="str">
        <f t="shared" si="194"/>
        <v/>
      </c>
      <c r="Y147" s="111"/>
      <c r="Z147" s="106">
        <f>_xlfn.T.TEST(B147:D147,N147:P147,2,1)</f>
        <v>0.41395212304555229</v>
      </c>
      <c r="AA147" s="107" t="str">
        <f>IF(Z147&lt;0.05,"YES","NO")</f>
        <v>NO</v>
      </c>
      <c r="AB147" s="7"/>
    </row>
    <row r="148" spans="1:28" x14ac:dyDescent="0.35">
      <c r="A148" s="28" t="s">
        <v>1</v>
      </c>
      <c r="B148" s="204">
        <f>'Raw results fibers'!AM11/'Raw results fibers'!AM10</f>
        <v>5.7550262480695544E-2</v>
      </c>
      <c r="C148" s="32">
        <f>'Raw results fibers'!AN11/'Raw results fibers'!AN10</f>
        <v>3.8072845500776782E-2</v>
      </c>
      <c r="D148" s="205">
        <f>'Raw results fibers'!AO11/'Raw results fibers'!AO10</f>
        <v>7.365273655666589E-2</v>
      </c>
      <c r="E148" s="206">
        <f t="shared" ref="E148:E156" si="203">AVERAGE(B148:D148)</f>
        <v>5.6425281512712734E-2</v>
      </c>
      <c r="F148" s="207">
        <f t="shared" ref="F148:F156" si="204">_xlfn.STDEV.S(B148:D148)</f>
        <v>1.7816603170104472E-2</v>
      </c>
      <c r="G148" s="207">
        <f t="shared" ref="G148:G156" si="205">_xlfn.CONFIDENCE.NORM(0.05, F148, 3)</f>
        <v>2.0161013976986514E-2</v>
      </c>
      <c r="H148" s="135">
        <f t="shared" si="195"/>
        <v>2.0792075172503789E-2</v>
      </c>
      <c r="I148" s="136">
        <f t="shared" si="196"/>
        <v>9.2058487852921672E-2</v>
      </c>
      <c r="J148" s="136" t="str">
        <f t="shared" si="197"/>
        <v/>
      </c>
      <c r="K148" s="136" t="str">
        <f t="shared" si="198"/>
        <v/>
      </c>
      <c r="L148" s="136" t="str">
        <f t="shared" si="199"/>
        <v/>
      </c>
      <c r="M148" s="170"/>
      <c r="N148" s="204">
        <f>'Raw results fibers'!AP11/'Raw results fibers'!AP10</f>
        <v>0.12082003035486075</v>
      </c>
      <c r="O148" s="32">
        <f>'Raw results fibers'!AQ11/'Raw results fibers'!AQ10</f>
        <v>2.3449740061780855E-2</v>
      </c>
      <c r="P148" s="205">
        <f>'Raw results fibers'!AR11/'Raw results fibers'!AR10</f>
        <v>7.3958366455793775E-2</v>
      </c>
      <c r="Q148" s="208">
        <f t="shared" ref="Q148:Q156" si="206">AVERAGE(N148:P148)</f>
        <v>7.2742712290811792E-2</v>
      </c>
      <c r="R148" s="32">
        <f t="shared" ref="R148:R156" si="207">_xlfn.STDEV.S(N148:P148)</f>
        <v>4.8696526767586741E-2</v>
      </c>
      <c r="S148" s="32">
        <f t="shared" ref="S148:S156" si="208">_xlfn.CONFIDENCE.NORM(0.05, R148, 3)</f>
        <v>5.5104294989259575E-2</v>
      </c>
      <c r="T148" s="135">
        <f t="shared" si="200"/>
        <v>-2.465034124436169E-2</v>
      </c>
      <c r="U148" s="135">
        <f t="shared" si="201"/>
        <v>0.17013576582598527</v>
      </c>
      <c r="V148" s="136" t="str">
        <f t="shared" si="202"/>
        <v/>
      </c>
      <c r="W148" s="136" t="str">
        <f t="shared" si="193"/>
        <v/>
      </c>
      <c r="X148" s="138" t="str">
        <f t="shared" si="194"/>
        <v/>
      </c>
      <c r="Y148" s="111"/>
      <c r="Z148" s="106">
        <f>_xlfn.T.TEST(B148:D148,N148:P148,2,1)</f>
        <v>0.56477782987393532</v>
      </c>
      <c r="AA148" s="107" t="str">
        <f>IF(Z148&lt;0.05,"YES","NO")</f>
        <v>NO</v>
      </c>
      <c r="AB148" s="7"/>
    </row>
    <row r="149" spans="1:28" x14ac:dyDescent="0.35">
      <c r="A149" s="28" t="s">
        <v>3</v>
      </c>
      <c r="B149" s="204">
        <f>'Raw results fibers'!AM17/'Raw results fibers'!AM16</f>
        <v>4.5339090069192983E-2</v>
      </c>
      <c r="C149" s="32">
        <f>'Raw results fibers'!AN17/'Raw results fibers'!AN16</f>
        <v>4.5707187779017389E-2</v>
      </c>
      <c r="D149" s="205">
        <f>'Raw results fibers'!AO17/'Raw results fibers'!AO16</f>
        <v>6.4445773627391553E-2</v>
      </c>
      <c r="E149" s="206">
        <f t="shared" si="203"/>
        <v>5.1830683825200639E-2</v>
      </c>
      <c r="F149" s="207">
        <f t="shared" si="204"/>
        <v>1.0926538428020162E-2</v>
      </c>
      <c r="G149" s="207">
        <f t="shared" si="205"/>
        <v>1.2364315007982693E-2</v>
      </c>
      <c r="H149" s="135">
        <f t="shared" si="195"/>
        <v>2.9977606969160315E-2</v>
      </c>
      <c r="I149" s="136">
        <f t="shared" si="196"/>
        <v>7.3683760681240967E-2</v>
      </c>
      <c r="J149" s="136" t="str">
        <f t="shared" si="197"/>
        <v/>
      </c>
      <c r="K149" s="136" t="str">
        <f t="shared" si="198"/>
        <v/>
      </c>
      <c r="L149" s="136" t="str">
        <f t="shared" si="199"/>
        <v/>
      </c>
      <c r="M149" s="170" t="s">
        <v>59</v>
      </c>
      <c r="N149" s="204"/>
      <c r="O149" s="32"/>
      <c r="P149" s="205"/>
      <c r="Q149" s="208"/>
      <c r="R149" s="32"/>
      <c r="S149" s="32"/>
      <c r="T149" s="135"/>
      <c r="U149" s="135"/>
      <c r="V149" s="136"/>
      <c r="W149" s="136"/>
      <c r="X149" s="138"/>
      <c r="Y149" s="111"/>
      <c r="Z149" s="106"/>
      <c r="AA149" s="107"/>
      <c r="AB149" s="7"/>
    </row>
    <row r="150" spans="1:28" x14ac:dyDescent="0.35">
      <c r="A150" s="28" t="s">
        <v>0</v>
      </c>
      <c r="B150" s="204">
        <f>'Raw results fibers'!AM23/'Raw results fibers'!AM22</f>
        <v>2.4062495211269165E-2</v>
      </c>
      <c r="C150" s="32">
        <f>'Raw results fibers'!AN23/'Raw results fibers'!AN22</f>
        <v>0.12600411934239011</v>
      </c>
      <c r="D150" s="205">
        <f>'Raw results fibers'!AO23/'Raw results fibers'!AO22</f>
        <v>7.2267898549385409E-2</v>
      </c>
      <c r="E150" s="206">
        <f t="shared" si="203"/>
        <v>7.411150436768156E-2</v>
      </c>
      <c r="F150" s="207">
        <f t="shared" si="204"/>
        <v>5.099581202836783E-2</v>
      </c>
      <c r="G150" s="207">
        <f t="shared" si="205"/>
        <v>5.7706133388931068E-2</v>
      </c>
      <c r="H150" s="135">
        <f t="shared" si="195"/>
        <v>-2.78801196890541E-2</v>
      </c>
      <c r="I150" s="136">
        <f t="shared" si="196"/>
        <v>0.17610312842441722</v>
      </c>
      <c r="J150" s="136" t="str">
        <f t="shared" si="197"/>
        <v/>
      </c>
      <c r="K150" s="136" t="str">
        <f t="shared" si="198"/>
        <v/>
      </c>
      <c r="L150" s="136" t="str">
        <f t="shared" si="199"/>
        <v/>
      </c>
      <c r="M150" s="170"/>
      <c r="N150" s="204"/>
      <c r="O150" s="32"/>
      <c r="P150" s="205"/>
      <c r="Q150" s="208"/>
      <c r="R150" s="32"/>
      <c r="S150" s="32"/>
      <c r="T150" s="135"/>
      <c r="U150" s="135"/>
      <c r="V150" s="136"/>
      <c r="W150" s="136"/>
      <c r="X150" s="138"/>
      <c r="Y150" s="111"/>
      <c r="Z150" s="106"/>
      <c r="AA150" s="107"/>
      <c r="AB150" s="7"/>
    </row>
    <row r="151" spans="1:28" x14ac:dyDescent="0.35">
      <c r="A151" s="28" t="s">
        <v>4</v>
      </c>
      <c r="B151" s="204">
        <f>'Raw results fibers'!AM29/'Raw results fibers'!AM28</f>
        <v>4.6773011931200675E-2</v>
      </c>
      <c r="C151" s="32">
        <f>'Raw results fibers'!AN29/'Raw results fibers'!AN28</f>
        <v>7.1138208764196367E-2</v>
      </c>
      <c r="D151" s="205">
        <f>'Raw results fibers'!AO29/'Raw results fibers'!AO28</f>
        <v>8.7619024968762935E-2</v>
      </c>
      <c r="E151" s="206">
        <f t="shared" si="203"/>
        <v>6.8510081888053326E-2</v>
      </c>
      <c r="F151" s="207">
        <f t="shared" si="204"/>
        <v>2.0549439978354785E-2</v>
      </c>
      <c r="G151" s="207">
        <f t="shared" si="205"/>
        <v>2.3253453122760826E-2</v>
      </c>
      <c r="H151" s="135">
        <f t="shared" si="195"/>
        <v>2.7411201931343755E-2</v>
      </c>
      <c r="I151" s="136">
        <f t="shared" si="196"/>
        <v>0.1096089618447629</v>
      </c>
      <c r="J151" s="136" t="str">
        <f t="shared" si="197"/>
        <v/>
      </c>
      <c r="K151" s="136" t="str">
        <f t="shared" si="198"/>
        <v/>
      </c>
      <c r="L151" s="136" t="str">
        <f t="shared" si="199"/>
        <v/>
      </c>
      <c r="M151" s="170"/>
      <c r="N151" s="204">
        <f>'Raw results fibers'!AP29/'Raw results fibers'!AP28</f>
        <v>3.7979950419169605E-3</v>
      </c>
      <c r="O151" s="32">
        <f>'Raw results fibers'!AQ29/'Raw results fibers'!AQ28</f>
        <v>0.20833710717550644</v>
      </c>
      <c r="P151" s="205">
        <f>'Raw results fibers'!AR29/'Raw results fibers'!AR28</f>
        <v>4.7713663600616931E-3</v>
      </c>
      <c r="Q151" s="208">
        <f t="shared" si="206"/>
        <v>7.230215619249504E-2</v>
      </c>
      <c r="R151" s="32">
        <f t="shared" si="207"/>
        <v>0.11781072862707999</v>
      </c>
      <c r="S151" s="32">
        <f t="shared" si="208"/>
        <v>0.13331293983552292</v>
      </c>
      <c r="T151" s="135">
        <f t="shared" si="200"/>
        <v>-0.16331930106166492</v>
      </c>
      <c r="U151" s="135">
        <f t="shared" si="201"/>
        <v>0.30792361344665503</v>
      </c>
      <c r="V151" s="136" t="str">
        <f t="shared" si="202"/>
        <v/>
      </c>
      <c r="W151" s="136" t="str">
        <f t="shared" si="193"/>
        <v/>
      </c>
      <c r="X151" s="138" t="str">
        <f t="shared" si="194"/>
        <v/>
      </c>
      <c r="Y151" s="111"/>
      <c r="Z151" s="106">
        <f>_xlfn.T.TEST(B151:D151,N151:P151,2,1)</f>
        <v>0.96041762660618279</v>
      </c>
      <c r="AA151" s="107" t="str">
        <f>IF(Z151&lt;0.05,"YES","NO")</f>
        <v>NO</v>
      </c>
      <c r="AB151" s="7" t="s">
        <v>59</v>
      </c>
    </row>
    <row r="152" spans="1:28" x14ac:dyDescent="0.35">
      <c r="A152" s="28" t="s">
        <v>5</v>
      </c>
      <c r="B152" s="204">
        <f>'Raw results fibers'!AM35/'Raw results fibers'!AM34</f>
        <v>3.8530153762025378E-2</v>
      </c>
      <c r="C152" s="32">
        <f>'Raw results fibers'!AN35/'Raw results fibers'!AN34</f>
        <v>9.3577694468387082E-2</v>
      </c>
      <c r="D152" s="205">
        <f>'Raw results fibers'!AO35/'Raw results fibers'!AO34</f>
        <v>4.7319946322771589E-2</v>
      </c>
      <c r="E152" s="206">
        <f t="shared" si="203"/>
        <v>5.9809264851061354E-2</v>
      </c>
      <c r="F152" s="207">
        <f t="shared" si="204"/>
        <v>2.957271111059059E-2</v>
      </c>
      <c r="G152" s="207">
        <f t="shared" si="205"/>
        <v>3.3464058010700203E-2</v>
      </c>
      <c r="H152" s="135">
        <f t="shared" si="195"/>
        <v>6.6384262988017362E-4</v>
      </c>
      <c r="I152" s="136">
        <f t="shared" si="196"/>
        <v>0.11895468707224253</v>
      </c>
      <c r="J152" s="136" t="str">
        <f t="shared" si="197"/>
        <v/>
      </c>
      <c r="K152" s="136" t="str">
        <f t="shared" si="198"/>
        <v/>
      </c>
      <c r="L152" s="136" t="str">
        <f t="shared" si="199"/>
        <v/>
      </c>
      <c r="M152" s="170"/>
      <c r="N152" s="204"/>
      <c r="O152" s="32"/>
      <c r="P152" s="205"/>
      <c r="Q152" s="208"/>
      <c r="R152" s="32"/>
      <c r="S152" s="32"/>
      <c r="T152" s="135"/>
      <c r="U152" s="135"/>
      <c r="V152" s="136"/>
      <c r="W152" s="136"/>
      <c r="X152" s="138"/>
      <c r="Y152" s="111"/>
      <c r="Z152" s="106"/>
      <c r="AA152" s="107"/>
      <c r="AB152" s="7"/>
    </row>
    <row r="153" spans="1:28" x14ac:dyDescent="0.35">
      <c r="A153" s="28" t="s">
        <v>6</v>
      </c>
      <c r="B153" s="204">
        <f>'Raw results fibers'!AM41/'Raw results fibers'!AM40</f>
        <v>4.2174467728970627E-2</v>
      </c>
      <c r="C153" s="32">
        <f>'Raw results fibers'!AN41/'Raw results fibers'!AN40</f>
        <v>5.2027493699415152E-2</v>
      </c>
      <c r="D153" s="205">
        <f>'Raw results fibers'!AO41/'Raw results fibers'!AO40</f>
        <v>5.0449958544361198E-2</v>
      </c>
      <c r="E153" s="206">
        <f t="shared" si="203"/>
        <v>4.8217306657582316E-2</v>
      </c>
      <c r="F153" s="207">
        <f t="shared" si="204"/>
        <v>5.2923606291726292E-3</v>
      </c>
      <c r="G153" s="207">
        <f t="shared" si="205"/>
        <v>5.9887597875581382E-3</v>
      </c>
      <c r="H153" s="135">
        <f t="shared" si="195"/>
        <v>3.7632585399237056E-2</v>
      </c>
      <c r="I153" s="136">
        <f t="shared" si="196"/>
        <v>5.8802027915927577E-2</v>
      </c>
      <c r="J153" s="136" t="str">
        <f t="shared" si="197"/>
        <v/>
      </c>
      <c r="K153" s="136" t="str">
        <f t="shared" si="198"/>
        <v/>
      </c>
      <c r="L153" s="136" t="str">
        <f t="shared" si="199"/>
        <v/>
      </c>
      <c r="M153" s="170"/>
      <c r="N153" s="204">
        <f>'Raw results fibers'!AP41/'Raw results fibers'!AP40</f>
        <v>8.5295161361466282E-2</v>
      </c>
      <c r="O153" s="32">
        <f>'Raw results fibers'!AQ41/'Raw results fibers'!AQ40</f>
        <v>3.3596275605214151E-2</v>
      </c>
      <c r="P153" s="205">
        <f>'Raw results fibers'!AR41/'Raw results fibers'!AR40</f>
        <v>6.1972343133397121E-3</v>
      </c>
      <c r="Q153" s="208">
        <f t="shared" si="206"/>
        <v>4.1696223760006722E-2</v>
      </c>
      <c r="R153" s="32">
        <f t="shared" si="207"/>
        <v>4.016624684869665E-2</v>
      </c>
      <c r="S153" s="32">
        <f t="shared" si="208"/>
        <v>4.5451551925367109E-2</v>
      </c>
      <c r="T153" s="135">
        <f t="shared" si="200"/>
        <v>-3.8636269937386579E-2</v>
      </c>
      <c r="U153" s="135">
        <f t="shared" si="201"/>
        <v>0.12202871745740002</v>
      </c>
      <c r="V153" s="136" t="str">
        <f t="shared" si="202"/>
        <v/>
      </c>
      <c r="W153" s="136" t="str">
        <f t="shared" si="193"/>
        <v/>
      </c>
      <c r="X153" s="138" t="str">
        <f t="shared" si="194"/>
        <v/>
      </c>
      <c r="Y153" s="111"/>
      <c r="Z153" s="106">
        <f>_xlfn.T.TEST(B153:D153,N153:P153,2,1)</f>
        <v>0.82482624299785545</v>
      </c>
      <c r="AA153" s="107" t="str">
        <f>IF(Z153&lt;0.05,"YES","NO")</f>
        <v>NO</v>
      </c>
      <c r="AB153" s="7"/>
    </row>
    <row r="154" spans="1:28" x14ac:dyDescent="0.35">
      <c r="A154" s="28" t="s">
        <v>42</v>
      </c>
      <c r="B154" s="204"/>
      <c r="C154" s="32">
        <f>'Raw results fibers'!AN47/'Raw results fibers'!AN46</f>
        <v>6.8956406813645663E-2</v>
      </c>
      <c r="D154" s="205"/>
      <c r="E154" s="206">
        <f t="shared" si="203"/>
        <v>6.8956406813645663E-2</v>
      </c>
      <c r="F154" s="207"/>
      <c r="G154" s="207"/>
      <c r="H154" s="135"/>
      <c r="I154" s="136"/>
      <c r="J154" s="136" t="str">
        <f t="shared" si="197"/>
        <v/>
      </c>
      <c r="K154" s="136" t="s">
        <v>151</v>
      </c>
      <c r="L154" s="136" t="str">
        <f t="shared" si="199"/>
        <v/>
      </c>
      <c r="M154" s="170"/>
      <c r="N154" s="204"/>
      <c r="O154" s="32">
        <f>'Raw results fibers'!AQ47/'Raw results fibers'!AQ46</f>
        <v>9.7306128800108929E-2</v>
      </c>
      <c r="P154" s="205"/>
      <c r="Q154" s="208">
        <f t="shared" si="206"/>
        <v>9.7306128800108929E-2</v>
      </c>
      <c r="R154" s="32"/>
      <c r="S154" s="32"/>
      <c r="T154" s="135"/>
      <c r="U154" s="135"/>
      <c r="V154" s="136"/>
      <c r="W154" s="136"/>
      <c r="X154" s="138"/>
      <c r="Y154" s="111"/>
      <c r="Z154" s="106"/>
      <c r="AA154" s="107"/>
      <c r="AB154" s="7"/>
    </row>
    <row r="155" spans="1:28" x14ac:dyDescent="0.35">
      <c r="A155" s="37" t="s">
        <v>8</v>
      </c>
      <c r="B155" s="38" t="s">
        <v>9</v>
      </c>
      <c r="C155" s="39" t="s">
        <v>9</v>
      </c>
      <c r="D155" s="40" t="s">
        <v>9</v>
      </c>
      <c r="E155" s="209" t="s">
        <v>10</v>
      </c>
      <c r="F155" s="210" t="s">
        <v>10</v>
      </c>
      <c r="G155" s="210" t="s">
        <v>10</v>
      </c>
      <c r="H155" s="171" t="s">
        <v>10</v>
      </c>
      <c r="I155" s="142" t="s">
        <v>10</v>
      </c>
      <c r="J155" s="142"/>
      <c r="K155" s="142"/>
      <c r="L155" s="142"/>
      <c r="M155" s="184"/>
      <c r="N155" s="38" t="s">
        <v>9</v>
      </c>
      <c r="O155" s="39" t="s">
        <v>9</v>
      </c>
      <c r="P155" s="40" t="s">
        <v>9</v>
      </c>
      <c r="Q155" s="209" t="s">
        <v>10</v>
      </c>
      <c r="R155" s="210" t="s">
        <v>10</v>
      </c>
      <c r="S155" s="210" t="s">
        <v>10</v>
      </c>
      <c r="T155" s="171" t="s">
        <v>10</v>
      </c>
      <c r="U155" s="142" t="s">
        <v>10</v>
      </c>
      <c r="V155" s="142"/>
      <c r="W155" s="142"/>
      <c r="X155" s="144"/>
      <c r="Y155" s="111"/>
      <c r="Z155" s="108"/>
      <c r="AA155" s="107"/>
      <c r="AB155" s="20"/>
    </row>
    <row r="156" spans="1:28" ht="15" thickBot="1" x14ac:dyDescent="0.4">
      <c r="A156" s="29" t="s">
        <v>43</v>
      </c>
      <c r="B156" s="211">
        <f>'Raw results fibers'!AM53/'Raw results fibers'!AM52</f>
        <v>4.5794981840027491E-2</v>
      </c>
      <c r="C156" s="212">
        <f>'Raw results fibers'!AN53/'Raw results fibers'!AN52</f>
        <v>6.3469750875439962E-2</v>
      </c>
      <c r="D156" s="33">
        <f>'Raw results fibers'!AO53/'Raw results fibers'!AO52</f>
        <v>7.9939833882925096E-2</v>
      </c>
      <c r="E156" s="213">
        <f t="shared" si="203"/>
        <v>6.3068188866130845E-2</v>
      </c>
      <c r="F156" s="214">
        <f t="shared" si="204"/>
        <v>1.7075967594644009E-2</v>
      </c>
      <c r="G156" s="214">
        <f t="shared" si="205"/>
        <v>1.9322921325646156E-2</v>
      </c>
      <c r="H156" s="146">
        <f t="shared" si="195"/>
        <v>2.8916253676842828E-2</v>
      </c>
      <c r="I156" s="149">
        <f t="shared" si="196"/>
        <v>9.7220124055418855E-2</v>
      </c>
      <c r="J156" s="149" t="str">
        <f t="shared" si="197"/>
        <v/>
      </c>
      <c r="K156" s="149" t="str">
        <f t="shared" si="198"/>
        <v/>
      </c>
      <c r="L156" s="149" t="str">
        <f t="shared" si="199"/>
        <v/>
      </c>
      <c r="M156" s="190"/>
      <c r="N156" s="211">
        <f>'Raw results fibers'!AP53/'Raw results fibers'!AP52</f>
        <v>5.0252601961384119E-2</v>
      </c>
      <c r="O156" s="212">
        <f>'Raw results fibers'!AQ53/'Raw results fibers'!AQ52</f>
        <v>6.4779616360369996E-2</v>
      </c>
      <c r="P156" s="33">
        <f>'Raw results fibers'!AR53/'Raw results fibers'!AR52</f>
        <v>9.6878108503589924E-2</v>
      </c>
      <c r="Q156" s="215">
        <f t="shared" si="206"/>
        <v>7.0636775608448013E-2</v>
      </c>
      <c r="R156" s="212">
        <f t="shared" si="207"/>
        <v>2.385821034617493E-2</v>
      </c>
      <c r="S156" s="212">
        <f t="shared" si="208"/>
        <v>2.6997610468320068E-2</v>
      </c>
      <c r="T156" s="146">
        <f t="shared" si="200"/>
        <v>2.2920354916098153E-2</v>
      </c>
      <c r="U156" s="146">
        <f t="shared" si="201"/>
        <v>0.11835319630079788</v>
      </c>
      <c r="V156" s="149" t="str">
        <f t="shared" si="202"/>
        <v/>
      </c>
      <c r="W156" s="149" t="str">
        <f t="shared" si="193"/>
        <v/>
      </c>
      <c r="X156" s="147" t="str">
        <f t="shared" si="194"/>
        <v/>
      </c>
      <c r="Y156" s="111"/>
      <c r="Z156" s="115">
        <f>_xlfn.T.TEST(B156:D156,N156:P156,2,1)</f>
        <v>0.25363033567345272</v>
      </c>
      <c r="AA156" s="116" t="str">
        <f>IF(Z156&lt;0.05,"YES","NO")</f>
        <v>NO</v>
      </c>
      <c r="AB156" s="10"/>
    </row>
    <row r="157" spans="1:28" x14ac:dyDescent="0.35"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</row>
    <row r="158" spans="1:28" x14ac:dyDescent="0.35"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</row>
    <row r="159" spans="1:28" x14ac:dyDescent="0.35"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</row>
  </sheetData>
  <mergeCells count="48">
    <mergeCell ref="B118:D118"/>
    <mergeCell ref="N118:P118"/>
    <mergeCell ref="B131:D131"/>
    <mergeCell ref="N131:P131"/>
    <mergeCell ref="B1:D1"/>
    <mergeCell ref="N1:P1"/>
    <mergeCell ref="B14:D14"/>
    <mergeCell ref="N14:P14"/>
    <mergeCell ref="N92:P92"/>
    <mergeCell ref="B27:D27"/>
    <mergeCell ref="N27:P27"/>
    <mergeCell ref="B40:D40"/>
    <mergeCell ref="N40:P40"/>
    <mergeCell ref="B53:D53"/>
    <mergeCell ref="N53:P53"/>
    <mergeCell ref="B66:D66"/>
    <mergeCell ref="N66:P66"/>
    <mergeCell ref="B79:D79"/>
    <mergeCell ref="N79:P79"/>
    <mergeCell ref="B92:D92"/>
    <mergeCell ref="N2:P2"/>
    <mergeCell ref="B2:D2"/>
    <mergeCell ref="N15:P15"/>
    <mergeCell ref="B15:D15"/>
    <mergeCell ref="N28:P28"/>
    <mergeCell ref="B28:D28"/>
    <mergeCell ref="N41:P41"/>
    <mergeCell ref="B41:D41"/>
    <mergeCell ref="N67:P67"/>
    <mergeCell ref="B67:D67"/>
    <mergeCell ref="N54:P54"/>
    <mergeCell ref="B54:D54"/>
    <mergeCell ref="N106:P106"/>
    <mergeCell ref="B106:D106"/>
    <mergeCell ref="N93:P93"/>
    <mergeCell ref="B93:D93"/>
    <mergeCell ref="N80:P80"/>
    <mergeCell ref="B80:D80"/>
    <mergeCell ref="B105:D105"/>
    <mergeCell ref="N105:P105"/>
    <mergeCell ref="B119:D119"/>
    <mergeCell ref="N145:P145"/>
    <mergeCell ref="B145:D145"/>
    <mergeCell ref="N132:P132"/>
    <mergeCell ref="B132:D132"/>
    <mergeCell ref="N119:P119"/>
    <mergeCell ref="B144:D144"/>
    <mergeCell ref="N144:P144"/>
  </mergeCells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0412-2A4B-4219-847D-BE90D8CB52B7}">
  <dimension ref="A1:S62"/>
  <sheetViews>
    <sheetView zoomScale="37" zoomScaleNormal="70" workbookViewId="0">
      <selection activeCell="Q9" sqref="Q9:R9"/>
    </sheetView>
  </sheetViews>
  <sheetFormatPr baseColWidth="10" defaultRowHeight="14.5" x14ac:dyDescent="0.35"/>
  <cols>
    <col min="1" max="1" width="17.08984375" bestFit="1" customWidth="1"/>
    <col min="2" max="2" width="20.81640625" bestFit="1" customWidth="1"/>
    <col min="3" max="3" width="10.81640625" bestFit="1" customWidth="1"/>
    <col min="4" max="4" width="20.81640625" bestFit="1" customWidth="1"/>
    <col min="5" max="5" width="10.81640625" bestFit="1" customWidth="1"/>
    <col min="8" max="8" width="24.1796875" bestFit="1" customWidth="1"/>
    <col min="9" max="9" width="20.81640625" bestFit="1" customWidth="1"/>
    <col min="10" max="10" width="10.81640625" bestFit="1" customWidth="1"/>
    <col min="11" max="11" width="20.81640625" bestFit="1" customWidth="1"/>
    <col min="12" max="12" width="18.81640625" bestFit="1" customWidth="1"/>
    <col min="13" max="13" width="26.90625" bestFit="1" customWidth="1"/>
    <col min="14" max="15" width="18.81640625" bestFit="1" customWidth="1"/>
    <col min="16" max="16" width="17.1796875" bestFit="1" customWidth="1"/>
    <col min="17" max="17" width="24.54296875" customWidth="1"/>
    <col min="18" max="18" width="18.54296875" bestFit="1" customWidth="1"/>
  </cols>
  <sheetData>
    <row r="1" spans="1:19" ht="15" thickBot="1" x14ac:dyDescent="0.4">
      <c r="A1" s="60"/>
      <c r="B1" s="95" t="s">
        <v>11</v>
      </c>
      <c r="C1" s="96"/>
      <c r="D1" s="96" t="s">
        <v>128</v>
      </c>
      <c r="E1" s="97"/>
      <c r="F1" s="61"/>
      <c r="H1" s="98" t="s">
        <v>61</v>
      </c>
      <c r="I1" s="67" t="s">
        <v>11</v>
      </c>
      <c r="J1" s="67"/>
      <c r="K1" s="67" t="s">
        <v>128</v>
      </c>
      <c r="L1" s="67"/>
      <c r="M1" s="100" t="s">
        <v>28</v>
      </c>
      <c r="N1" s="93" t="s">
        <v>127</v>
      </c>
      <c r="R1" s="36"/>
      <c r="S1" s="36"/>
    </row>
    <row r="2" spans="1:19" ht="15" thickBot="1" x14ac:dyDescent="0.4">
      <c r="A2" s="60" t="s">
        <v>61</v>
      </c>
      <c r="B2" s="62" t="s">
        <v>60</v>
      </c>
      <c r="C2" s="62" t="s">
        <v>13</v>
      </c>
      <c r="D2" s="62" t="s">
        <v>60</v>
      </c>
      <c r="E2" s="62" t="s">
        <v>13</v>
      </c>
      <c r="F2" s="63" t="s">
        <v>12</v>
      </c>
      <c r="H2" s="99"/>
      <c r="I2" s="9" t="s">
        <v>60</v>
      </c>
      <c r="J2" s="9" t="s">
        <v>13</v>
      </c>
      <c r="K2" s="9" t="s">
        <v>60</v>
      </c>
      <c r="L2" s="9" t="s">
        <v>13</v>
      </c>
      <c r="M2" s="101"/>
      <c r="N2" s="94"/>
      <c r="P2" s="57"/>
      <c r="Q2" s="30" t="s">
        <v>132</v>
      </c>
      <c r="R2" s="58" t="s">
        <v>133</v>
      </c>
      <c r="S2" s="36"/>
    </row>
    <row r="3" spans="1:19" x14ac:dyDescent="0.35">
      <c r="A3" s="1" t="s">
        <v>62</v>
      </c>
      <c r="B3">
        <v>1713</v>
      </c>
      <c r="C3">
        <v>9.1499999999999998E-2</v>
      </c>
      <c r="D3">
        <v>1408</v>
      </c>
      <c r="E3">
        <v>3.2199999999999999E-2</v>
      </c>
      <c r="F3" s="14">
        <f>C3/E3</f>
        <v>2.841614906832298</v>
      </c>
      <c r="H3" s="11" t="s">
        <v>32</v>
      </c>
      <c r="I3" s="42">
        <f>AVERAGE(B3:B5)</f>
        <v>1713.6666666666667</v>
      </c>
      <c r="J3" s="43">
        <f>AVERAGE(C3:C5)</f>
        <v>0.10376666666666667</v>
      </c>
      <c r="K3" s="42">
        <f t="shared" ref="K3:L3" si="0">AVERAGE(D3:D5)</f>
        <v>1408</v>
      </c>
      <c r="L3" s="43">
        <f t="shared" si="0"/>
        <v>3.5099999999999999E-2</v>
      </c>
      <c r="M3" s="44">
        <f>AVERAGE(F3:F5)</f>
        <v>2.9283654917637088</v>
      </c>
      <c r="N3" s="44">
        <f>_xlfn.STDEV.S(F3:F5)</f>
        <v>0.13655707835180367</v>
      </c>
      <c r="P3" s="51" t="s">
        <v>14</v>
      </c>
      <c r="Q3" s="53">
        <f>_xlfn.T.TEST(F3:F5,F6:F8,2,1)</f>
        <v>0.58874184071561231</v>
      </c>
      <c r="R3" s="55" t="str">
        <f>IF(Q3&lt;0.05,"YES","NO")</f>
        <v>NO</v>
      </c>
      <c r="S3" s="36"/>
    </row>
    <row r="4" spans="1:19" x14ac:dyDescent="0.35">
      <c r="A4" s="1" t="s">
        <v>70</v>
      </c>
      <c r="B4">
        <v>1714</v>
      </c>
      <c r="C4">
        <v>0.14749999999999999</v>
      </c>
      <c r="D4">
        <v>1408</v>
      </c>
      <c r="E4">
        <v>4.7800000000000002E-2</v>
      </c>
      <c r="F4" s="14">
        <f t="shared" ref="F4:F50" si="1">C4/E4</f>
        <v>3.0857740585774054</v>
      </c>
      <c r="H4" s="6" t="s">
        <v>33</v>
      </c>
      <c r="I4" s="45">
        <f>AVERAGE(B6:B8)</f>
        <v>1713</v>
      </c>
      <c r="J4" s="46">
        <f>AVERAGE(C6:C8)</f>
        <v>9.98E-2</v>
      </c>
      <c r="K4" s="45">
        <f t="shared" ref="K4:L4" si="2">AVERAGE(D6:D8)</f>
        <v>1408.6666666666667</v>
      </c>
      <c r="L4" s="46">
        <f t="shared" si="2"/>
        <v>3.4766666666666661E-2</v>
      </c>
      <c r="M4" s="47">
        <f>AVERAGE(F6:F8)</f>
        <v>2.8724255334064481</v>
      </c>
      <c r="N4" s="44">
        <f>_xlfn.STDEV.S(F6:F8)</f>
        <v>3.1815801266132607E-2</v>
      </c>
      <c r="P4" s="51" t="s">
        <v>15</v>
      </c>
      <c r="Q4" s="53">
        <f>_xlfn.T.TEST(F9:F11,F12:F14,2,1)</f>
        <v>0.12549708430477258</v>
      </c>
      <c r="R4" s="55" t="str">
        <f t="shared" ref="R4:R8" si="3">IF(Q4&lt;0.05,"YES","NO")</f>
        <v>NO</v>
      </c>
      <c r="S4" s="36"/>
    </row>
    <row r="5" spans="1:19" x14ac:dyDescent="0.35">
      <c r="A5" s="1" t="s">
        <v>78</v>
      </c>
      <c r="B5">
        <v>1714</v>
      </c>
      <c r="C5">
        <v>7.2300000000000003E-2</v>
      </c>
      <c r="D5">
        <v>1408</v>
      </c>
      <c r="E5">
        <v>2.53E-2</v>
      </c>
      <c r="F5" s="14">
        <f t="shared" si="1"/>
        <v>2.8577075098814233</v>
      </c>
      <c r="H5" s="6" t="s">
        <v>34</v>
      </c>
      <c r="I5" s="45">
        <f>AVERAGE(B9:B11)</f>
        <v>1635.3333333333333</v>
      </c>
      <c r="J5" s="46">
        <f>AVERAGE(C9:C11)</f>
        <v>9.2100000000000001E-2</v>
      </c>
      <c r="K5" s="45">
        <f t="shared" ref="K5:L5" si="4">AVERAGE(D9:D11)</f>
        <v>1461.3333333333333</v>
      </c>
      <c r="L5" s="46">
        <f t="shared" si="4"/>
        <v>4.8566666666666668E-2</v>
      </c>
      <c r="M5" s="47">
        <f>AVERAGE(F9:F11)</f>
        <v>1.8987154612478487</v>
      </c>
      <c r="N5" s="44">
        <f>_xlfn.STDEV.S(F9:F11)</f>
        <v>3.6762365351941495E-2</v>
      </c>
      <c r="P5" s="51" t="s">
        <v>16</v>
      </c>
      <c r="Q5" s="53">
        <f>_xlfn.T.TEST(F15:F17,F18:F20,2,1)</f>
        <v>0.25356851038631034</v>
      </c>
      <c r="R5" s="55" t="str">
        <f t="shared" si="3"/>
        <v>NO</v>
      </c>
    </row>
    <row r="6" spans="1:19" x14ac:dyDescent="0.35">
      <c r="A6" s="1" t="s">
        <v>90</v>
      </c>
      <c r="B6">
        <v>1713</v>
      </c>
      <c r="C6">
        <v>0.12920000000000001</v>
      </c>
      <c r="D6">
        <v>1408</v>
      </c>
      <c r="E6">
        <v>4.53E-2</v>
      </c>
      <c r="F6" s="14">
        <f t="shared" si="1"/>
        <v>2.852097130242826</v>
      </c>
      <c r="H6" s="106" t="s">
        <v>35</v>
      </c>
      <c r="I6" s="219">
        <f>AVERAGE(B12:B14)</f>
        <v>1636</v>
      </c>
      <c r="J6" s="220">
        <f>AVERAGE(C12:C14)</f>
        <v>9.5499999999999988E-2</v>
      </c>
      <c r="K6" s="219">
        <f>AVERAGE(D12:D14)</f>
        <v>1461</v>
      </c>
      <c r="L6" s="220">
        <f>AVERAGE(E12:E14)</f>
        <v>4.6466666666666663E-2</v>
      </c>
      <c r="M6" s="221">
        <f>AVERAGE(F12:F14)</f>
        <v>2.0423380921360268</v>
      </c>
      <c r="N6" s="222">
        <f>_xlfn.STDEV.S(F12:F14)</f>
        <v>0.10140996158052207</v>
      </c>
      <c r="O6" s="111"/>
      <c r="P6" s="51" t="s">
        <v>86</v>
      </c>
      <c r="Q6" s="53">
        <f>_xlfn.T.TEST(F21:F23,F24:F26,2,1)</f>
        <v>0.96665544958831706</v>
      </c>
      <c r="R6" s="55" t="str">
        <f t="shared" si="3"/>
        <v>NO</v>
      </c>
    </row>
    <row r="7" spans="1:19" x14ac:dyDescent="0.35">
      <c r="A7" s="1" t="s">
        <v>99</v>
      </c>
      <c r="B7">
        <v>1713</v>
      </c>
      <c r="C7">
        <v>7.7399999999999997E-2</v>
      </c>
      <c r="D7">
        <v>1409</v>
      </c>
      <c r="E7">
        <v>2.7099999999999999E-2</v>
      </c>
      <c r="F7" s="14">
        <f t="shared" si="1"/>
        <v>2.8560885608856088</v>
      </c>
      <c r="H7" s="106" t="s">
        <v>36</v>
      </c>
      <c r="I7" s="219">
        <f>AVERAGE(B15:B17)</f>
        <v>1736.3333333333333</v>
      </c>
      <c r="J7" s="220">
        <f>AVERAGE(C15:C17)</f>
        <v>1.2433333333333333E-2</v>
      </c>
      <c r="K7" s="219">
        <f t="shared" ref="K7:L7" si="5">AVERAGE(D15:D17)</f>
        <v>1410</v>
      </c>
      <c r="L7" s="220">
        <f t="shared" si="5"/>
        <v>6.6666666666666671E-3</v>
      </c>
      <c r="M7" s="221">
        <f>AVERAGE(F15:F17)</f>
        <v>1.8110944571798033</v>
      </c>
      <c r="N7" s="222">
        <f>_xlfn.STDEV.S(F15:F17)</f>
        <v>0.16098142770431079</v>
      </c>
      <c r="O7" s="111"/>
      <c r="P7" s="51" t="s">
        <v>17</v>
      </c>
      <c r="Q7" s="53">
        <f>_xlfn.T.TEST(F27:F29,F30:F32,2,1)</f>
        <v>0.17319478407434252</v>
      </c>
      <c r="R7" s="55" t="str">
        <f t="shared" si="3"/>
        <v>NO</v>
      </c>
    </row>
    <row r="8" spans="1:19" ht="15" thickBot="1" x14ac:dyDescent="0.4">
      <c r="A8" s="1" t="s">
        <v>108</v>
      </c>
      <c r="B8">
        <v>1713</v>
      </c>
      <c r="C8">
        <v>9.2799999999999994E-2</v>
      </c>
      <c r="D8">
        <v>1409</v>
      </c>
      <c r="E8">
        <v>3.1899999999999998E-2</v>
      </c>
      <c r="F8" s="14">
        <f t="shared" si="1"/>
        <v>2.9090909090909092</v>
      </c>
      <c r="H8" s="106" t="s">
        <v>37</v>
      </c>
      <c r="I8" s="219">
        <f>AVERAGE(B18:B20)</f>
        <v>1738.3333333333333</v>
      </c>
      <c r="J8" s="220">
        <f>AVERAGE(C18:C20)</f>
        <v>9.7000000000000003E-3</v>
      </c>
      <c r="K8" s="219">
        <f t="shared" ref="K8:L8" si="6">AVERAGE(D18:D20)</f>
        <v>1411.6666666666667</v>
      </c>
      <c r="L8" s="220">
        <f t="shared" si="6"/>
        <v>6.7333333333333334E-3</v>
      </c>
      <c r="M8" s="221">
        <f>AVERAGE(F18:F20)</f>
        <v>1.3427895981087472</v>
      </c>
      <c r="N8" s="222">
        <f>_xlfn.STDEV.S(F18:F20)</f>
        <v>0.45705262764595633</v>
      </c>
      <c r="O8" s="111"/>
      <c r="P8" s="51" t="s">
        <v>18</v>
      </c>
      <c r="Q8" s="53">
        <f>_xlfn.T.TEST(F33:F35,F36:F38,2,1)</f>
        <v>1.0616545572045843E-2</v>
      </c>
      <c r="R8" s="55" t="str">
        <f t="shared" si="3"/>
        <v>YES</v>
      </c>
    </row>
    <row r="9" spans="1:19" x14ac:dyDescent="0.35">
      <c r="A9" s="59" t="s">
        <v>63</v>
      </c>
      <c r="B9" s="34">
        <v>1635</v>
      </c>
      <c r="C9" s="34">
        <v>8.2299999999999998E-2</v>
      </c>
      <c r="D9" s="34">
        <v>1461</v>
      </c>
      <c r="E9" s="34">
        <v>4.24E-2</v>
      </c>
      <c r="F9" s="35">
        <f t="shared" si="1"/>
        <v>1.9410377358490565</v>
      </c>
      <c r="H9" s="106" t="s">
        <v>117</v>
      </c>
      <c r="I9" s="219">
        <f>AVERAGE(B21:B23)</f>
        <v>1730.6666666666667</v>
      </c>
      <c r="J9" s="220">
        <f>AVERAGE(C21:C23)</f>
        <v>0.15110000000000001</v>
      </c>
      <c r="K9" s="219">
        <f t="shared" ref="K9:L9" si="7">AVERAGE(D21:D23)</f>
        <v>1462</v>
      </c>
      <c r="L9" s="220">
        <f t="shared" si="7"/>
        <v>0.23716666666666666</v>
      </c>
      <c r="M9" s="221">
        <f>AVERAGE(F21:F23)</f>
        <v>0.63712723733561227</v>
      </c>
      <c r="N9" s="222">
        <f>_xlfn.STDEV.S(F21:F23)</f>
        <v>1.8499694912967393E-2</v>
      </c>
      <c r="O9" s="111"/>
      <c r="P9" s="51" t="s">
        <v>19</v>
      </c>
      <c r="Q9" s="91"/>
      <c r="R9" s="92"/>
    </row>
    <row r="10" spans="1:19" x14ac:dyDescent="0.35">
      <c r="A10" s="1" t="s">
        <v>71</v>
      </c>
      <c r="B10">
        <v>1635</v>
      </c>
      <c r="C10">
        <v>8.0799999999999997E-2</v>
      </c>
      <c r="D10">
        <v>1461</v>
      </c>
      <c r="E10">
        <v>4.3099999999999999E-2</v>
      </c>
      <c r="F10" s="14">
        <f t="shared" si="1"/>
        <v>1.8747099767981439</v>
      </c>
      <c r="H10" s="106" t="s">
        <v>122</v>
      </c>
      <c r="I10" s="219">
        <f>AVERAGE(B24:B26)</f>
        <v>1732.6666666666667</v>
      </c>
      <c r="J10" s="220">
        <f>AVERAGE(C24:C26)</f>
        <v>0.15186666666666668</v>
      </c>
      <c r="K10" s="219">
        <f t="shared" ref="K10:L10" si="8">AVERAGE(D24:D26)</f>
        <v>1431</v>
      </c>
      <c r="L10" s="220">
        <f t="shared" si="8"/>
        <v>0.23799999999999999</v>
      </c>
      <c r="M10" s="221">
        <f>AVERAGE(F24:F26)</f>
        <v>0.63813623055778368</v>
      </c>
      <c r="N10" s="222">
        <f>_xlfn.STDEV.S(F24:F26)</f>
        <v>2.1630510153100878E-2</v>
      </c>
      <c r="O10" s="111"/>
      <c r="P10" s="51" t="s">
        <v>20</v>
      </c>
      <c r="Q10" s="53">
        <f>_xlfn.T.TEST(F45:F47,F48:F50,2,1)</f>
        <v>9.1128804850338807E-2</v>
      </c>
      <c r="R10" s="55" t="str">
        <f>IF(Q10&lt;0.05,"YES","NO")</f>
        <v>NO</v>
      </c>
    </row>
    <row r="11" spans="1:19" ht="15" thickBot="1" x14ac:dyDescent="0.4">
      <c r="A11" s="1" t="s">
        <v>79</v>
      </c>
      <c r="B11">
        <v>1636</v>
      </c>
      <c r="C11">
        <v>0.1132</v>
      </c>
      <c r="D11">
        <v>1462</v>
      </c>
      <c r="E11">
        <v>6.0199999999999997E-2</v>
      </c>
      <c r="F11" s="14">
        <f t="shared" si="1"/>
        <v>1.8803986710963456</v>
      </c>
      <c r="H11" s="106" t="s">
        <v>38</v>
      </c>
      <c r="I11" s="219">
        <f>AVERAGE(B27:B29)</f>
        <v>973</v>
      </c>
      <c r="J11" s="220">
        <f>AVERAGE(C27:C29)</f>
        <v>2.7933333333333334E-2</v>
      </c>
      <c r="K11" s="219">
        <f t="shared" ref="K11:L11" si="9">AVERAGE(D27:D29)</f>
        <v>2918</v>
      </c>
      <c r="L11" s="220">
        <f t="shared" si="9"/>
        <v>0.12809999999999999</v>
      </c>
      <c r="M11" s="221">
        <f>AVERAGE(F27:F29)</f>
        <v>0.22128874502036264</v>
      </c>
      <c r="N11" s="222">
        <f>_xlfn.STDEV.S(F27:F29)</f>
        <v>2.0882158995679072E-2</v>
      </c>
      <c r="O11" s="111"/>
      <c r="P11" s="52" t="s">
        <v>21</v>
      </c>
      <c r="Q11" s="54">
        <f>_xlfn.T.TEST(F51:F53,F54:F56,2,1)</f>
        <v>3.6002318084025861E-2</v>
      </c>
      <c r="R11" s="56" t="str">
        <f>IF(Q11&lt;0.05,"YES","NO")</f>
        <v>YES</v>
      </c>
    </row>
    <row r="12" spans="1:19" x14ac:dyDescent="0.35">
      <c r="A12" s="1" t="s">
        <v>91</v>
      </c>
      <c r="B12">
        <v>1636</v>
      </c>
      <c r="C12">
        <v>8.1699999999999995E-2</v>
      </c>
      <c r="D12">
        <v>1461</v>
      </c>
      <c r="E12">
        <v>3.9199999999999999E-2</v>
      </c>
      <c r="F12" s="14">
        <f t="shared" si="1"/>
        <v>2.0841836734693877</v>
      </c>
      <c r="H12" s="106" t="s">
        <v>39</v>
      </c>
      <c r="I12" s="219">
        <f>AVERAGE(B30:B32)</f>
        <v>972</v>
      </c>
      <c r="J12" s="220">
        <f>AVERAGE(C30:C32)</f>
        <v>3.0466666666666666E-2</v>
      </c>
      <c r="K12" s="219">
        <f t="shared" ref="K12:L12" si="10">AVERAGE(D30:D32)</f>
        <v>2918</v>
      </c>
      <c r="L12" s="220">
        <f t="shared" si="10"/>
        <v>0.11650000000000001</v>
      </c>
      <c r="M12" s="221">
        <f>AVERAGE(F30:F32)</f>
        <v>0.26627665943243839</v>
      </c>
      <c r="N12" s="222">
        <f>_xlfn.STDEV.S(F30:F32)</f>
        <v>4.1167577749305052E-2</v>
      </c>
      <c r="O12" s="111"/>
      <c r="P12" s="50"/>
    </row>
    <row r="13" spans="1:19" x14ac:dyDescent="0.35">
      <c r="A13" s="1" t="s">
        <v>100</v>
      </c>
      <c r="B13">
        <v>1636</v>
      </c>
      <c r="C13">
        <v>0.13120000000000001</v>
      </c>
      <c r="D13">
        <v>1461</v>
      </c>
      <c r="E13">
        <v>6.2E-2</v>
      </c>
      <c r="F13" s="14">
        <f t="shared" si="1"/>
        <v>2.1161290322580646</v>
      </c>
      <c r="H13" s="106" t="s">
        <v>118</v>
      </c>
      <c r="I13" s="219">
        <f>AVERAGE(B33:B35)</f>
        <v>1714.3333333333333</v>
      </c>
      <c r="J13" s="220">
        <f>AVERAGE(C33:C35)</f>
        <v>0.45236666666666664</v>
      </c>
      <c r="K13" s="219">
        <f t="shared" ref="K13:L13" si="11">AVERAGE(D33:D35)</f>
        <v>1408.6666666666667</v>
      </c>
      <c r="L13" s="220">
        <f t="shared" si="11"/>
        <v>0.1193</v>
      </c>
      <c r="M13" s="221">
        <f>AVERAGE(F33:F35)</f>
        <v>3.7914884788998435</v>
      </c>
      <c r="N13" s="222">
        <f>_xlfn.STDEV.S(F33:F35)</f>
        <v>9.3301537890139244E-2</v>
      </c>
      <c r="O13" s="111"/>
    </row>
    <row r="14" spans="1:19" ht="15" thickBot="1" x14ac:dyDescent="0.4">
      <c r="A14" s="21" t="s">
        <v>109</v>
      </c>
      <c r="B14" s="15">
        <v>1636</v>
      </c>
      <c r="C14" s="15">
        <v>7.3599999999999999E-2</v>
      </c>
      <c r="D14" s="15">
        <v>1461</v>
      </c>
      <c r="E14" s="15">
        <v>3.8199999999999998E-2</v>
      </c>
      <c r="F14" s="16">
        <f t="shared" si="1"/>
        <v>1.9267015706806283</v>
      </c>
      <c r="H14" s="106" t="s">
        <v>123</v>
      </c>
      <c r="I14" s="219">
        <f>AVERAGE(B36:B38)</f>
        <v>1714</v>
      </c>
      <c r="J14" s="220">
        <f>AVERAGE(C36:C38)</f>
        <v>0.30586666666666668</v>
      </c>
      <c r="K14" s="219">
        <f t="shared" ref="K14:L14" si="12">AVERAGE(D36:D38)</f>
        <v>1408</v>
      </c>
      <c r="L14" s="220">
        <f t="shared" si="12"/>
        <v>9.0399999999999994E-2</v>
      </c>
      <c r="M14" s="221">
        <f>AVERAGE(F36:F38)</f>
        <v>3.3836095997467943</v>
      </c>
      <c r="N14" s="222">
        <f>_xlfn.STDEV.S(F36:F38)</f>
        <v>2.097951291597621E-2</v>
      </c>
      <c r="O14" s="111"/>
    </row>
    <row r="15" spans="1:19" x14ac:dyDescent="0.35">
      <c r="A15" s="59" t="s">
        <v>64</v>
      </c>
      <c r="B15" s="34">
        <v>1737</v>
      </c>
      <c r="C15" s="34">
        <v>2.1100000000000001E-2</v>
      </c>
      <c r="D15" s="34">
        <v>1410</v>
      </c>
      <c r="E15" s="34">
        <v>1.0699999999999999E-2</v>
      </c>
      <c r="F15" s="35">
        <f t="shared" si="1"/>
        <v>1.97196261682243</v>
      </c>
      <c r="H15" s="106" t="s">
        <v>119</v>
      </c>
      <c r="I15" s="219"/>
      <c r="J15" s="220"/>
      <c r="K15" s="219"/>
      <c r="L15" s="220"/>
      <c r="M15" s="221"/>
      <c r="N15" s="222"/>
      <c r="O15" s="111"/>
    </row>
    <row r="16" spans="1:19" x14ac:dyDescent="0.35">
      <c r="A16" s="1" t="s">
        <v>72</v>
      </c>
      <c r="B16">
        <v>1736</v>
      </c>
      <c r="C16">
        <v>9.5999999999999992E-3</v>
      </c>
      <c r="D16">
        <v>1410</v>
      </c>
      <c r="E16">
        <v>5.3E-3</v>
      </c>
      <c r="F16" s="14">
        <f t="shared" si="1"/>
        <v>1.811320754716981</v>
      </c>
      <c r="H16" s="106" t="s">
        <v>124</v>
      </c>
      <c r="I16" s="219"/>
      <c r="J16" s="220"/>
      <c r="K16" s="219"/>
      <c r="L16" s="220"/>
      <c r="M16" s="221"/>
      <c r="N16" s="222"/>
      <c r="O16" s="111"/>
    </row>
    <row r="17" spans="1:17" x14ac:dyDescent="0.35">
      <c r="A17" s="1" t="s">
        <v>80</v>
      </c>
      <c r="B17">
        <v>1736</v>
      </c>
      <c r="C17">
        <v>6.6E-3</v>
      </c>
      <c r="D17">
        <v>1410</v>
      </c>
      <c r="E17">
        <v>4.0000000000000001E-3</v>
      </c>
      <c r="F17" s="14">
        <f t="shared" si="1"/>
        <v>1.65</v>
      </c>
      <c r="H17" s="106" t="s">
        <v>120</v>
      </c>
      <c r="I17" s="219">
        <f>AVERAGE(B45:B47)</f>
        <v>1730</v>
      </c>
      <c r="J17" s="220">
        <f>AVERAGE(C45:C47)</f>
        <v>0.54866666666666675</v>
      </c>
      <c r="K17" s="219">
        <f t="shared" ref="K17:L17" si="13">AVERAGE(D45:D47)</f>
        <v>1414</v>
      </c>
      <c r="L17" s="220">
        <f t="shared" si="13"/>
        <v>0.29936666666666667</v>
      </c>
      <c r="M17" s="221">
        <f>AVERAGE(F45:F47)</f>
        <v>1.8327158785038116</v>
      </c>
      <c r="N17" s="222">
        <f>_xlfn.STDEV.S(F45:F47)</f>
        <v>1.3339262383587052E-2</v>
      </c>
      <c r="O17" s="111"/>
    </row>
    <row r="18" spans="1:17" x14ac:dyDescent="0.35">
      <c r="A18" s="1" t="s">
        <v>92</v>
      </c>
      <c r="B18">
        <v>1736</v>
      </c>
      <c r="C18">
        <v>6.0000000000000001E-3</v>
      </c>
      <c r="D18">
        <v>1415</v>
      </c>
      <c r="E18">
        <v>6.0000000000000001E-3</v>
      </c>
      <c r="F18" s="14">
        <f t="shared" si="1"/>
        <v>1</v>
      </c>
      <c r="H18" s="106" t="s">
        <v>125</v>
      </c>
      <c r="I18" s="219">
        <f>AVERAGE(B48:B50)</f>
        <v>1730</v>
      </c>
      <c r="J18" s="220">
        <f>AVERAGE(C48:C50)</f>
        <v>0.52559999999999996</v>
      </c>
      <c r="K18" s="219">
        <f t="shared" ref="K18:L18" si="14">AVERAGE(D48:D50)</f>
        <v>1414</v>
      </c>
      <c r="L18" s="220">
        <f t="shared" si="14"/>
        <v>0.2810333333333333</v>
      </c>
      <c r="M18" s="221">
        <f>AVERAGE(F48:F50)</f>
        <v>1.8710487048938977</v>
      </c>
      <c r="N18" s="222">
        <f>_xlfn.STDEV.S(F48:F50)</f>
        <v>3.4733283364431544E-2</v>
      </c>
      <c r="O18" s="111"/>
    </row>
    <row r="19" spans="1:17" x14ac:dyDescent="0.35">
      <c r="A19" s="1" t="s">
        <v>101</v>
      </c>
      <c r="B19">
        <v>1737</v>
      </c>
      <c r="C19">
        <v>1.7500000000000002E-2</v>
      </c>
      <c r="D19">
        <v>1411</v>
      </c>
      <c r="E19">
        <v>9.4000000000000004E-3</v>
      </c>
      <c r="F19" s="14">
        <f t="shared" si="1"/>
        <v>1.8617021276595747</v>
      </c>
      <c r="H19" s="106" t="s">
        <v>121</v>
      </c>
      <c r="I19" s="219">
        <f>AVERAGE(B51:B53)</f>
        <v>1732.3333333333333</v>
      </c>
      <c r="J19" s="220">
        <f>AVERAGE(C51:C53)</f>
        <v>6.8600000000000008E-2</v>
      </c>
      <c r="K19" s="219">
        <f>AVERAGE(D51:D53)</f>
        <v>961.33333333333337</v>
      </c>
      <c r="L19" s="220">
        <f>AVERAGE(E51:E53)</f>
        <v>0.13076666666666667</v>
      </c>
      <c r="M19" s="221">
        <f>AVERAGE(F51:F53)</f>
        <v>0.52481989273551133</v>
      </c>
      <c r="N19" s="222">
        <f>_xlfn.STDEV.S(F51:F53)</f>
        <v>1.9416782264232241E-2</v>
      </c>
      <c r="O19" s="111"/>
    </row>
    <row r="20" spans="1:17" ht="15" thickBot="1" x14ac:dyDescent="0.4">
      <c r="A20" s="21" t="s">
        <v>110</v>
      </c>
      <c r="B20" s="15">
        <v>1742</v>
      </c>
      <c r="C20" s="15">
        <v>5.5999999999999999E-3</v>
      </c>
      <c r="D20" s="15">
        <v>1409</v>
      </c>
      <c r="E20" s="15">
        <v>4.7999999999999996E-3</v>
      </c>
      <c r="F20" s="16">
        <f t="shared" si="1"/>
        <v>1.1666666666666667</v>
      </c>
      <c r="H20" s="115" t="s">
        <v>126</v>
      </c>
      <c r="I20" s="223">
        <f>AVERAGE(B54:B56)</f>
        <v>1735.3333333333333</v>
      </c>
      <c r="J20" s="224">
        <f>AVERAGE(C54:C56)</f>
        <v>8.8566666666666669E-2</v>
      </c>
      <c r="K20" s="223">
        <f>AVERAGE(D54:D56)</f>
        <v>963</v>
      </c>
      <c r="L20" s="224">
        <f>AVERAGE(E54:E56)</f>
        <v>0.13993333333333333</v>
      </c>
      <c r="M20" s="225">
        <f>AVERAGE(F54:F56)</f>
        <v>0.63375877511167744</v>
      </c>
      <c r="N20" s="222">
        <f>_xlfn.STDEV.S(F54:F56)</f>
        <v>4.7685310405552364E-2</v>
      </c>
      <c r="O20" s="111"/>
    </row>
    <row r="21" spans="1:17" ht="14.5" customHeight="1" x14ac:dyDescent="0.35">
      <c r="A21" s="59" t="s">
        <v>87</v>
      </c>
      <c r="B21" s="34">
        <v>1729</v>
      </c>
      <c r="C21" s="34">
        <v>0.1535</v>
      </c>
      <c r="D21" s="34">
        <v>1462</v>
      </c>
      <c r="E21" s="34">
        <v>0.23799999999999999</v>
      </c>
      <c r="F21" s="35">
        <f t="shared" si="1"/>
        <v>0.64495798319327735</v>
      </c>
      <c r="H21" s="111"/>
      <c r="I21" s="111"/>
      <c r="J21" s="111"/>
      <c r="K21" s="111"/>
      <c r="L21" s="111"/>
      <c r="M21" s="111"/>
      <c r="N21" s="111"/>
      <c r="O21" s="111"/>
    </row>
    <row r="22" spans="1:17" x14ac:dyDescent="0.35">
      <c r="A22" s="1" t="s">
        <v>88</v>
      </c>
      <c r="B22">
        <v>1733</v>
      </c>
      <c r="C22">
        <v>0.1535</v>
      </c>
      <c r="D22">
        <v>1462</v>
      </c>
      <c r="E22">
        <v>0.23599999999999999</v>
      </c>
      <c r="F22" s="14">
        <f t="shared" si="1"/>
        <v>0.65042372881355937</v>
      </c>
      <c r="H22" s="111"/>
      <c r="I22" s="111"/>
      <c r="J22" s="111"/>
      <c r="K22" s="111"/>
      <c r="L22" s="111"/>
      <c r="M22" s="111"/>
      <c r="N22" s="111"/>
      <c r="O22" s="111"/>
    </row>
    <row r="23" spans="1:17" x14ac:dyDescent="0.35">
      <c r="A23" s="1" t="s">
        <v>89</v>
      </c>
      <c r="B23">
        <v>1730</v>
      </c>
      <c r="C23">
        <v>0.14630000000000001</v>
      </c>
      <c r="D23">
        <v>1462</v>
      </c>
      <c r="E23">
        <v>0.23749999999999999</v>
      </c>
      <c r="F23" s="14">
        <f t="shared" si="1"/>
        <v>0.6160000000000001</v>
      </c>
      <c r="H23" s="111"/>
      <c r="I23" s="111"/>
      <c r="J23" s="111"/>
      <c r="K23" s="111"/>
      <c r="L23" s="111"/>
      <c r="M23" s="111"/>
      <c r="N23" s="111"/>
      <c r="O23" s="111"/>
    </row>
    <row r="24" spans="1:17" x14ac:dyDescent="0.35">
      <c r="A24" s="1" t="s">
        <v>93</v>
      </c>
      <c r="B24">
        <v>1730</v>
      </c>
      <c r="C24">
        <v>0.1469</v>
      </c>
      <c r="D24">
        <v>1431</v>
      </c>
      <c r="E24">
        <v>0.23880000000000001</v>
      </c>
      <c r="F24" s="14">
        <f t="shared" si="1"/>
        <v>0.61515912897822445</v>
      </c>
      <c r="H24" s="111"/>
      <c r="I24" s="111"/>
      <c r="J24" s="111"/>
      <c r="K24" s="111"/>
      <c r="L24" s="111"/>
      <c r="M24" s="111"/>
      <c r="N24" s="111"/>
      <c r="O24" s="111"/>
    </row>
    <row r="25" spans="1:17" ht="15" thickBot="1" x14ac:dyDescent="0.4">
      <c r="A25" s="1" t="s">
        <v>102</v>
      </c>
      <c r="B25">
        <v>1734</v>
      </c>
      <c r="C25">
        <v>0.15240000000000001</v>
      </c>
      <c r="D25">
        <v>1431</v>
      </c>
      <c r="E25">
        <v>0.23769999999999999</v>
      </c>
      <c r="F25" s="14">
        <f t="shared" si="1"/>
        <v>0.64114429953723184</v>
      </c>
      <c r="H25" s="111"/>
      <c r="I25" s="111"/>
      <c r="J25" s="111"/>
      <c r="K25" s="111"/>
      <c r="L25" s="111"/>
      <c r="M25" s="111"/>
      <c r="N25" s="111"/>
      <c r="O25" s="111"/>
    </row>
    <row r="26" spans="1:17" ht="15" thickBot="1" x14ac:dyDescent="0.4">
      <c r="A26" s="21" t="s">
        <v>111</v>
      </c>
      <c r="B26" s="15">
        <v>1734</v>
      </c>
      <c r="C26" s="15">
        <v>0.15629999999999999</v>
      </c>
      <c r="D26" s="15">
        <v>1431</v>
      </c>
      <c r="E26" s="15">
        <v>0.23749999999999999</v>
      </c>
      <c r="F26" s="16">
        <f t="shared" si="1"/>
        <v>0.65810526315789475</v>
      </c>
      <c r="H26" s="121"/>
      <c r="I26" s="164" t="s">
        <v>129</v>
      </c>
      <c r="J26" s="164"/>
      <c r="K26" s="164"/>
      <c r="L26" s="122"/>
      <c r="M26" s="120"/>
      <c r="N26" s="111"/>
      <c r="O26" s="111"/>
    </row>
    <row r="27" spans="1:17" ht="15" thickBot="1" x14ac:dyDescent="0.4">
      <c r="A27" s="59" t="s">
        <v>65</v>
      </c>
      <c r="B27" s="34">
        <v>973</v>
      </c>
      <c r="C27" s="34">
        <v>3.2399999999999998E-2</v>
      </c>
      <c r="D27" s="34">
        <v>2918</v>
      </c>
      <c r="E27" s="34">
        <v>0.1613</v>
      </c>
      <c r="F27" s="35">
        <f t="shared" si="1"/>
        <v>0.2008679479231246</v>
      </c>
      <c r="G27" s="48"/>
      <c r="H27" s="226" t="s">
        <v>61</v>
      </c>
      <c r="I27" s="116">
        <v>1</v>
      </c>
      <c r="J27" s="227">
        <v>2</v>
      </c>
      <c r="K27" s="227">
        <v>3</v>
      </c>
      <c r="L27" s="227" t="s">
        <v>130</v>
      </c>
      <c r="M27" s="228" t="s">
        <v>131</v>
      </c>
      <c r="N27" s="229"/>
      <c r="O27" s="111"/>
      <c r="Q27" s="48"/>
    </row>
    <row r="28" spans="1:17" x14ac:dyDescent="0.35">
      <c r="A28" s="1" t="s">
        <v>73</v>
      </c>
      <c r="B28">
        <v>973</v>
      </c>
      <c r="C28">
        <v>2.6800000000000001E-2</v>
      </c>
      <c r="D28">
        <v>2918</v>
      </c>
      <c r="E28">
        <v>0.1216</v>
      </c>
      <c r="F28" s="14">
        <f t="shared" si="1"/>
        <v>0.22039473684210528</v>
      </c>
      <c r="H28" s="166" t="s">
        <v>14</v>
      </c>
      <c r="I28" s="230">
        <f>(F6-F3)/F3</f>
        <v>3.688826161956287E-3</v>
      </c>
      <c r="J28" s="231">
        <f>(F7-F4)/F4</f>
        <v>-7.4433673150290702E-2</v>
      </c>
      <c r="K28" s="231">
        <f>(F8-F5)/F5</f>
        <v>1.7980636237897543E-2</v>
      </c>
      <c r="L28" s="231">
        <f>AVERAGE(I28:K28)</f>
        <v>-1.7588070250145624E-2</v>
      </c>
      <c r="M28" s="232">
        <f>_xlfn.STDEV.S(I28:K28)</f>
        <v>4.9745661977929602E-2</v>
      </c>
      <c r="N28" s="233"/>
      <c r="O28" s="111"/>
      <c r="Q28" s="49"/>
    </row>
    <row r="29" spans="1:17" x14ac:dyDescent="0.35">
      <c r="A29" s="1" t="s">
        <v>81</v>
      </c>
      <c r="B29">
        <v>973</v>
      </c>
      <c r="C29">
        <v>2.46E-2</v>
      </c>
      <c r="D29">
        <v>2918</v>
      </c>
      <c r="E29">
        <v>0.1014</v>
      </c>
      <c r="F29" s="14">
        <f t="shared" si="1"/>
        <v>0.24260355029585798</v>
      </c>
      <c r="H29" s="170" t="s">
        <v>15</v>
      </c>
      <c r="I29" s="208">
        <f>(F12-F9)/F9</f>
        <v>7.3747117315942218E-2</v>
      </c>
      <c r="J29" s="32">
        <f>(F13-F10)/F10</f>
        <v>0.12877674864260621</v>
      </c>
      <c r="K29" s="32">
        <f>(F14-F11)/F11</f>
        <v>2.4623980167613229E-2</v>
      </c>
      <c r="L29" s="32">
        <f t="shared" ref="L29:L36" si="15">AVERAGE(I29:K29)</f>
        <v>7.5715948708720546E-2</v>
      </c>
      <c r="M29" s="205">
        <f t="shared" ref="M29:M36" si="16">_xlfn.STDEV.S(I29:K29)</f>
        <v>5.2104289823787724E-2</v>
      </c>
      <c r="N29" s="233"/>
      <c r="O29" s="111"/>
      <c r="Q29" s="49"/>
    </row>
    <row r="30" spans="1:17" x14ac:dyDescent="0.35">
      <c r="A30" s="1" t="s">
        <v>94</v>
      </c>
      <c r="B30">
        <v>972</v>
      </c>
      <c r="C30">
        <v>3.2800000000000003E-2</v>
      </c>
      <c r="D30">
        <v>2918</v>
      </c>
      <c r="E30">
        <v>0.1205</v>
      </c>
      <c r="F30" s="14">
        <f t="shared" si="1"/>
        <v>0.27219917012448136</v>
      </c>
      <c r="H30" s="170" t="s">
        <v>16</v>
      </c>
      <c r="I30" s="208">
        <f>(F18-F15)/F15</f>
        <v>-0.49289099526066354</v>
      </c>
      <c r="J30" s="32">
        <f>(F19-F16)/F16</f>
        <v>2.7814716312056943E-2</v>
      </c>
      <c r="K30" s="32">
        <f>(F20-F17)/F17</f>
        <v>-0.29292929292929287</v>
      </c>
      <c r="L30" s="32">
        <f t="shared" si="15"/>
        <v>-0.25266852395929984</v>
      </c>
      <c r="M30" s="205">
        <f t="shared" si="16"/>
        <v>0.26267719096764885</v>
      </c>
      <c r="N30" s="111"/>
      <c r="O30" s="111"/>
    </row>
    <row r="31" spans="1:17" x14ac:dyDescent="0.35">
      <c r="A31" s="1" t="s">
        <v>103</v>
      </c>
      <c r="B31">
        <v>972</v>
      </c>
      <c r="C31">
        <v>3.0099999999999998E-2</v>
      </c>
      <c r="D31">
        <v>2918</v>
      </c>
      <c r="E31">
        <v>0.1353</v>
      </c>
      <c r="F31" s="14">
        <f t="shared" si="1"/>
        <v>0.22246858832224684</v>
      </c>
      <c r="H31" s="170" t="s">
        <v>86</v>
      </c>
      <c r="I31" s="208">
        <f>(F24-F21)/F21</f>
        <v>-4.6202783734088544E-2</v>
      </c>
      <c r="J31" s="32">
        <f>(F25-F22)/F22</f>
        <v>-1.4266744685428632E-2</v>
      </c>
      <c r="K31" s="32">
        <f>(F26-F23)/F23</f>
        <v>6.8352699931647137E-2</v>
      </c>
      <c r="L31" s="32">
        <f t="shared" si="15"/>
        <v>2.6277238373766526E-3</v>
      </c>
      <c r="M31" s="205">
        <f t="shared" si="16"/>
        <v>5.9116892758954293E-2</v>
      </c>
      <c r="N31" s="111"/>
      <c r="O31" s="111"/>
    </row>
    <row r="32" spans="1:17" ht="15" thickBot="1" x14ac:dyDescent="0.4">
      <c r="A32" s="117" t="s">
        <v>112</v>
      </c>
      <c r="B32" s="118">
        <v>972</v>
      </c>
      <c r="C32" s="118">
        <v>2.8500000000000001E-2</v>
      </c>
      <c r="D32" s="118">
        <v>2918</v>
      </c>
      <c r="E32" s="118">
        <v>9.3700000000000006E-2</v>
      </c>
      <c r="F32" s="119">
        <f t="shared" si="1"/>
        <v>0.30416221985058695</v>
      </c>
      <c r="G32" s="111"/>
      <c r="H32" s="170" t="s">
        <v>17</v>
      </c>
      <c r="I32" s="208">
        <f>(F30-F27)/F27</f>
        <v>0.35511500435428539</v>
      </c>
      <c r="J32" s="32">
        <f>(F31-F28)/F28</f>
        <v>9.4097141785527173E-3</v>
      </c>
      <c r="K32" s="32">
        <f>(F32-F29)/F29</f>
        <v>0.25374183304266329</v>
      </c>
      <c r="L32" s="32">
        <f t="shared" si="15"/>
        <v>0.20608885052516715</v>
      </c>
      <c r="M32" s="205">
        <f t="shared" si="16"/>
        <v>0.17771083807967786</v>
      </c>
      <c r="N32" s="111"/>
      <c r="O32" s="111"/>
    </row>
    <row r="33" spans="1:17" x14ac:dyDescent="0.35">
      <c r="A33" s="216" t="s">
        <v>66</v>
      </c>
      <c r="B33" s="217">
        <v>1714</v>
      </c>
      <c r="C33" s="217">
        <v>0.44619999999999999</v>
      </c>
      <c r="D33" s="217">
        <v>1409</v>
      </c>
      <c r="E33" s="217">
        <v>0.1179</v>
      </c>
      <c r="F33" s="218">
        <f>C33/E33</f>
        <v>3.7845631891433413</v>
      </c>
      <c r="G33" s="111"/>
      <c r="H33" s="170" t="s">
        <v>18</v>
      </c>
      <c r="I33" s="208">
        <f>(F36-F33)/F33</f>
        <v>-0.10456698419364782</v>
      </c>
      <c r="J33" s="32">
        <f>(F37-F34)/F34</f>
        <v>-9.2204765696308227E-2</v>
      </c>
      <c r="K33" s="32">
        <f>(F38-F35)/F35</f>
        <v>-0.12514436274960691</v>
      </c>
      <c r="L33" s="32">
        <f t="shared" si="15"/>
        <v>-0.10730537087985433</v>
      </c>
      <c r="M33" s="205">
        <f t="shared" si="16"/>
        <v>1.6639661497182347E-2</v>
      </c>
      <c r="N33" s="111"/>
      <c r="O33" s="111"/>
    </row>
    <row r="34" spans="1:17" x14ac:dyDescent="0.35">
      <c r="A34" s="112" t="s">
        <v>74</v>
      </c>
      <c r="B34" s="111">
        <v>1715</v>
      </c>
      <c r="C34" s="111">
        <v>0.442</v>
      </c>
      <c r="D34" s="111">
        <v>1408</v>
      </c>
      <c r="E34" s="111">
        <v>0.11940000000000001</v>
      </c>
      <c r="F34" s="113">
        <f t="shared" si="1"/>
        <v>3.7018425460636513</v>
      </c>
      <c r="G34" s="111"/>
      <c r="H34" s="170" t="s">
        <v>19</v>
      </c>
      <c r="I34" s="208"/>
      <c r="J34" s="32"/>
      <c r="K34" s="32"/>
      <c r="L34" s="32"/>
      <c r="M34" s="205"/>
      <c r="N34" s="111"/>
      <c r="O34" s="111"/>
    </row>
    <row r="35" spans="1:17" x14ac:dyDescent="0.35">
      <c r="A35" s="112" t="s">
        <v>82</v>
      </c>
      <c r="B35" s="111">
        <v>1714</v>
      </c>
      <c r="C35" s="111">
        <v>0.46889999999999998</v>
      </c>
      <c r="D35" s="111">
        <v>1409</v>
      </c>
      <c r="E35" s="111">
        <v>0.1206</v>
      </c>
      <c r="F35" s="113">
        <f t="shared" si="1"/>
        <v>3.8880597014925371</v>
      </c>
      <c r="G35" s="111"/>
      <c r="H35" s="170" t="s">
        <v>20</v>
      </c>
      <c r="I35" s="208">
        <f>(F48-F45)/F45</f>
        <v>3.4008981172496344E-2</v>
      </c>
      <c r="J35" s="32">
        <f>(F49-F46)/F46</f>
        <v>1.6337163746249977E-2</v>
      </c>
      <c r="K35" s="32">
        <f>(F50-F47)/F47</f>
        <v>1.2236064640877257E-2</v>
      </c>
      <c r="L35" s="32">
        <f t="shared" si="15"/>
        <v>2.0860736519874527E-2</v>
      </c>
      <c r="M35" s="205">
        <f t="shared" si="16"/>
        <v>1.1569874958352868E-2</v>
      </c>
      <c r="N35" s="111"/>
      <c r="O35" s="111"/>
    </row>
    <row r="36" spans="1:17" x14ac:dyDescent="0.35">
      <c r="A36" s="112" t="s">
        <v>95</v>
      </c>
      <c r="B36" s="111">
        <v>1714</v>
      </c>
      <c r="C36" s="111">
        <v>0.28499999999999998</v>
      </c>
      <c r="D36" s="111">
        <v>1408</v>
      </c>
      <c r="E36" s="111">
        <v>8.4099999999999994E-2</v>
      </c>
      <c r="F36" s="113">
        <f t="shared" si="1"/>
        <v>3.3888228299643282</v>
      </c>
      <c r="G36" s="111"/>
      <c r="H36" s="170" t="s">
        <v>21</v>
      </c>
      <c r="I36" s="208">
        <f>(F54-F51)/F51</f>
        <v>0.21681297390901835</v>
      </c>
      <c r="J36" s="32"/>
      <c r="K36" s="32">
        <f>(F56-F53)/F53</f>
        <v>0.26822001527883893</v>
      </c>
      <c r="L36" s="32">
        <f t="shared" si="15"/>
        <v>0.24251649459392866</v>
      </c>
      <c r="M36" s="205">
        <f t="shared" si="16"/>
        <v>3.6350267553337492E-2</v>
      </c>
      <c r="N36" s="111"/>
      <c r="O36" s="111"/>
    </row>
    <row r="37" spans="1:17" ht="15" thickBot="1" x14ac:dyDescent="0.4">
      <c r="A37" s="112" t="s">
        <v>104</v>
      </c>
      <c r="B37" s="111">
        <v>1714</v>
      </c>
      <c r="C37" s="111">
        <v>0.31319999999999998</v>
      </c>
      <c r="D37" s="111">
        <v>1408</v>
      </c>
      <c r="E37" s="111">
        <v>9.3200000000000005E-2</v>
      </c>
      <c r="F37" s="113">
        <f t="shared" si="1"/>
        <v>3.3605150214592272</v>
      </c>
      <c r="G37" s="111"/>
      <c r="H37" s="190" t="s">
        <v>29</v>
      </c>
      <c r="I37" s="215">
        <f>(F60-F57)/F57</f>
        <v>1.6817503858216754</v>
      </c>
      <c r="J37" s="212"/>
      <c r="K37" s="212">
        <f>(F62-F59)/F59</f>
        <v>1.9539249507926093</v>
      </c>
      <c r="L37" s="212">
        <f>AVERAGE(I37:K37)</f>
        <v>1.8178376683071424</v>
      </c>
      <c r="M37" s="33">
        <f>_xlfn.STDEV.S(I37:K37)</f>
        <v>0.19245648055744596</v>
      </c>
      <c r="N37" s="111"/>
      <c r="O37" s="111"/>
    </row>
    <row r="38" spans="1:17" ht="15" thickBot="1" x14ac:dyDescent="0.4">
      <c r="A38" s="117" t="s">
        <v>113</v>
      </c>
      <c r="B38" s="118">
        <v>1714</v>
      </c>
      <c r="C38" s="118">
        <v>0.31940000000000002</v>
      </c>
      <c r="D38" s="118">
        <v>1408</v>
      </c>
      <c r="E38" s="118">
        <v>9.3899999999999997E-2</v>
      </c>
      <c r="F38" s="119">
        <f t="shared" si="1"/>
        <v>3.4014909478168267</v>
      </c>
      <c r="G38" s="111"/>
      <c r="H38" s="111"/>
      <c r="I38" s="111"/>
      <c r="J38" s="111"/>
      <c r="K38" s="111"/>
      <c r="L38" s="111"/>
      <c r="M38" s="111"/>
      <c r="N38" s="111"/>
      <c r="O38" s="111"/>
    </row>
    <row r="39" spans="1:17" ht="14.5" customHeight="1" x14ac:dyDescent="0.35">
      <c r="A39" s="112" t="s">
        <v>67</v>
      </c>
      <c r="B39" s="111"/>
      <c r="C39" s="111"/>
      <c r="D39" s="111"/>
      <c r="E39" s="111"/>
      <c r="F39" s="113"/>
      <c r="G39" s="111"/>
      <c r="H39" s="111"/>
      <c r="I39" s="111"/>
      <c r="J39" s="111"/>
      <c r="K39" s="111"/>
      <c r="L39" s="111"/>
      <c r="M39" s="111"/>
      <c r="N39" s="111"/>
      <c r="O39" s="111"/>
    </row>
    <row r="40" spans="1:17" x14ac:dyDescent="0.35">
      <c r="A40" s="112" t="s">
        <v>75</v>
      </c>
      <c r="B40" s="111"/>
      <c r="C40" s="111"/>
      <c r="D40" s="111"/>
      <c r="E40" s="111"/>
      <c r="F40" s="113"/>
      <c r="G40" s="111"/>
      <c r="H40" s="111"/>
      <c r="I40" s="111"/>
      <c r="J40" s="111"/>
      <c r="K40" s="111"/>
      <c r="L40" s="111"/>
      <c r="M40" s="111"/>
      <c r="N40" s="111"/>
      <c r="O40" s="111"/>
    </row>
    <row r="41" spans="1:17" x14ac:dyDescent="0.35">
      <c r="A41" s="112" t="s">
        <v>83</v>
      </c>
      <c r="B41" s="111"/>
      <c r="C41" s="111"/>
      <c r="D41" s="111"/>
      <c r="E41" s="111"/>
      <c r="F41" s="113"/>
      <c r="G41" s="111"/>
      <c r="H41" s="229"/>
      <c r="I41" s="229"/>
      <c r="J41" s="229"/>
      <c r="K41" s="229"/>
      <c r="L41" s="229"/>
      <c r="M41" s="229"/>
      <c r="N41" s="229"/>
      <c r="O41" s="229"/>
      <c r="P41" s="48"/>
      <c r="Q41" s="48"/>
    </row>
    <row r="42" spans="1:17" x14ac:dyDescent="0.35">
      <c r="A42" s="112" t="s">
        <v>96</v>
      </c>
      <c r="B42" s="111"/>
      <c r="C42" s="111"/>
      <c r="D42" s="111"/>
      <c r="E42" s="111"/>
      <c r="F42" s="113"/>
      <c r="G42" s="111"/>
      <c r="H42" s="229"/>
      <c r="I42" s="229"/>
      <c r="J42" s="229"/>
      <c r="K42" s="229"/>
      <c r="L42" s="229"/>
      <c r="M42" s="229"/>
      <c r="N42" s="229"/>
      <c r="O42" s="229"/>
      <c r="P42" s="48"/>
      <c r="Q42" s="48"/>
    </row>
    <row r="43" spans="1:17" x14ac:dyDescent="0.35">
      <c r="A43" s="112" t="s">
        <v>105</v>
      </c>
      <c r="B43" s="111"/>
      <c r="C43" s="111"/>
      <c r="D43" s="111"/>
      <c r="E43" s="111"/>
      <c r="F43" s="113"/>
      <c r="G43" s="111"/>
      <c r="H43" s="111"/>
      <c r="I43" s="111"/>
      <c r="J43" s="111"/>
      <c r="K43" s="111"/>
      <c r="L43" s="111"/>
      <c r="M43" s="111"/>
      <c r="N43" s="111"/>
      <c r="O43" s="111"/>
    </row>
    <row r="44" spans="1:17" ht="15" thickBot="1" x14ac:dyDescent="0.4">
      <c r="A44" s="112" t="s">
        <v>114</v>
      </c>
      <c r="B44" s="111"/>
      <c r="C44" s="111"/>
      <c r="D44" s="111"/>
      <c r="E44" s="111"/>
      <c r="F44" s="113"/>
      <c r="G44" s="111"/>
      <c r="H44" s="111"/>
      <c r="I44" s="111"/>
      <c r="J44" s="111"/>
      <c r="K44" s="111"/>
      <c r="L44" s="111"/>
      <c r="M44" s="111"/>
      <c r="N44" s="111"/>
      <c r="O44" s="111"/>
    </row>
    <row r="45" spans="1:17" x14ac:dyDescent="0.35">
      <c r="A45" s="216" t="s">
        <v>68</v>
      </c>
      <c r="B45" s="217">
        <v>1730</v>
      </c>
      <c r="C45" s="217">
        <v>0.55079999999999996</v>
      </c>
      <c r="D45" s="217">
        <v>1414</v>
      </c>
      <c r="E45" s="217">
        <v>0.29820000000000002</v>
      </c>
      <c r="F45" s="218">
        <f t="shared" si="1"/>
        <v>1.8470824949698186</v>
      </c>
      <c r="G45" s="111"/>
      <c r="H45" s="111"/>
      <c r="I45" s="111"/>
      <c r="J45" s="111"/>
      <c r="K45" s="111"/>
      <c r="L45" s="111"/>
      <c r="M45" s="111"/>
      <c r="N45" s="111"/>
      <c r="O45" s="111"/>
    </row>
    <row r="46" spans="1:17" x14ac:dyDescent="0.35">
      <c r="A46" s="112" t="s">
        <v>76</v>
      </c>
      <c r="B46" s="111">
        <v>1730</v>
      </c>
      <c r="C46" s="111">
        <v>0.56100000000000005</v>
      </c>
      <c r="D46" s="111">
        <v>1414</v>
      </c>
      <c r="E46" s="111">
        <v>0.30649999999999999</v>
      </c>
      <c r="F46" s="113">
        <f t="shared" si="1"/>
        <v>1.8303425774877653</v>
      </c>
      <c r="G46" s="111"/>
      <c r="H46" s="111"/>
      <c r="I46" s="111"/>
      <c r="J46" s="111"/>
      <c r="K46" s="111"/>
      <c r="L46" s="111"/>
      <c r="M46" s="111"/>
      <c r="N46" s="111"/>
      <c r="O46" s="111"/>
    </row>
    <row r="47" spans="1:17" x14ac:dyDescent="0.35">
      <c r="A47" s="112" t="s">
        <v>84</v>
      </c>
      <c r="B47" s="111">
        <v>1730</v>
      </c>
      <c r="C47" s="111">
        <v>0.53420000000000001</v>
      </c>
      <c r="D47" s="111">
        <v>1414</v>
      </c>
      <c r="E47" s="111">
        <v>0.29339999999999999</v>
      </c>
      <c r="F47" s="113">
        <f>C47/E47</f>
        <v>1.8207225630538515</v>
      </c>
      <c r="G47" s="111"/>
      <c r="H47" s="111"/>
      <c r="I47" s="111"/>
      <c r="J47" s="111"/>
      <c r="K47" s="111"/>
      <c r="L47" s="111"/>
      <c r="M47" s="111"/>
      <c r="N47" s="111"/>
      <c r="O47" s="111"/>
    </row>
    <row r="48" spans="1:17" x14ac:dyDescent="0.35">
      <c r="A48" s="112" t="s">
        <v>97</v>
      </c>
      <c r="B48" s="111">
        <v>1730</v>
      </c>
      <c r="C48" s="111">
        <v>0.5151</v>
      </c>
      <c r="D48" s="111">
        <v>1414</v>
      </c>
      <c r="E48" s="111">
        <v>0.2697</v>
      </c>
      <c r="F48" s="113">
        <f>C48/E48</f>
        <v>1.9098998887652947</v>
      </c>
      <c r="G48" s="111"/>
      <c r="H48" s="111"/>
      <c r="I48" s="111"/>
      <c r="J48" s="111"/>
      <c r="K48" s="111"/>
      <c r="L48" s="111"/>
      <c r="M48" s="111"/>
      <c r="N48" s="111"/>
      <c r="O48" s="111"/>
    </row>
    <row r="49" spans="1:15" x14ac:dyDescent="0.35">
      <c r="A49" s="112" t="s">
        <v>106</v>
      </c>
      <c r="B49" s="111">
        <v>1730</v>
      </c>
      <c r="C49" s="111">
        <v>0.53110000000000002</v>
      </c>
      <c r="D49" s="111">
        <v>1414</v>
      </c>
      <c r="E49" s="111">
        <v>0.28549999999999998</v>
      </c>
      <c r="F49" s="113">
        <f t="shared" si="1"/>
        <v>1.8602451838879162</v>
      </c>
      <c r="G49" s="111"/>
      <c r="H49" s="111"/>
      <c r="I49" s="111"/>
      <c r="J49" s="111"/>
      <c r="K49" s="111"/>
      <c r="L49" s="111"/>
      <c r="M49" s="111"/>
      <c r="N49" s="111"/>
      <c r="O49" s="111"/>
    </row>
    <row r="50" spans="1:15" ht="15" thickBot="1" x14ac:dyDescent="0.4">
      <c r="A50" s="117" t="s">
        <v>115</v>
      </c>
      <c r="B50" s="118">
        <v>1730</v>
      </c>
      <c r="C50" s="118">
        <v>0.53059999999999996</v>
      </c>
      <c r="D50" s="118">
        <v>1414</v>
      </c>
      <c r="E50" s="118">
        <v>0.28789999999999999</v>
      </c>
      <c r="F50" s="119">
        <f t="shared" si="1"/>
        <v>1.8430010420284821</v>
      </c>
      <c r="G50" s="111"/>
      <c r="H50" s="111"/>
      <c r="I50" s="111"/>
      <c r="J50" s="111"/>
      <c r="K50" s="111"/>
      <c r="L50" s="111"/>
      <c r="M50" s="111"/>
      <c r="N50" s="111"/>
      <c r="O50" s="111"/>
    </row>
    <row r="51" spans="1:15" x14ac:dyDescent="0.35">
      <c r="A51" s="112" t="s">
        <v>69</v>
      </c>
      <c r="B51" s="111">
        <v>1732</v>
      </c>
      <c r="C51" s="111">
        <v>6.6799999999999998E-2</v>
      </c>
      <c r="D51" s="111">
        <v>963</v>
      </c>
      <c r="E51" s="111">
        <v>0.13250000000000001</v>
      </c>
      <c r="F51" s="113">
        <f t="shared" ref="F51:F57" si="17">C51/E51</f>
        <v>0.50415094339622635</v>
      </c>
      <c r="G51" s="111"/>
    </row>
    <row r="52" spans="1:15" x14ac:dyDescent="0.35">
      <c r="A52" s="112" t="s">
        <v>77</v>
      </c>
      <c r="B52" s="111">
        <v>1732</v>
      </c>
      <c r="C52" s="111">
        <v>6.9699999999999998E-2</v>
      </c>
      <c r="D52" s="111">
        <v>961</v>
      </c>
      <c r="E52" s="111">
        <v>0.1321</v>
      </c>
      <c r="F52" s="113">
        <f t="shared" si="17"/>
        <v>0.52763058289174869</v>
      </c>
      <c r="G52" s="111"/>
    </row>
    <row r="53" spans="1:15" x14ac:dyDescent="0.35">
      <c r="A53" s="1" t="s">
        <v>85</v>
      </c>
      <c r="B53">
        <v>1733</v>
      </c>
      <c r="C53">
        <v>6.93E-2</v>
      </c>
      <c r="D53">
        <v>960</v>
      </c>
      <c r="E53">
        <v>0.12770000000000001</v>
      </c>
      <c r="F53" s="14">
        <f t="shared" si="17"/>
        <v>0.54267815191855906</v>
      </c>
    </row>
    <row r="54" spans="1:15" x14ac:dyDescent="0.35">
      <c r="A54" s="1" t="s">
        <v>98</v>
      </c>
      <c r="B54">
        <v>1735</v>
      </c>
      <c r="C54">
        <v>8.5699999999999998E-2</v>
      </c>
      <c r="D54">
        <v>965</v>
      </c>
      <c r="E54">
        <v>0.13969999999999999</v>
      </c>
      <c r="F54" s="14">
        <f t="shared" si="17"/>
        <v>0.61345740873299937</v>
      </c>
    </row>
    <row r="55" spans="1:15" x14ac:dyDescent="0.35">
      <c r="A55" s="1" t="s">
        <v>107</v>
      </c>
      <c r="B55">
        <v>1735</v>
      </c>
      <c r="C55">
        <v>8.6400000000000005E-2</v>
      </c>
      <c r="D55">
        <v>960</v>
      </c>
      <c r="E55">
        <v>0.14410000000000001</v>
      </c>
      <c r="F55" s="14">
        <f t="shared" si="17"/>
        <v>0.5995836224843859</v>
      </c>
    </row>
    <row r="56" spans="1:15" ht="15" thickBot="1" x14ac:dyDescent="0.4">
      <c r="A56" s="1" t="s">
        <v>116</v>
      </c>
      <c r="B56">
        <v>1736</v>
      </c>
      <c r="C56">
        <v>9.3600000000000003E-2</v>
      </c>
      <c r="D56">
        <v>964</v>
      </c>
      <c r="E56">
        <v>0.13600000000000001</v>
      </c>
      <c r="F56" s="14">
        <f t="shared" si="17"/>
        <v>0.68823529411764706</v>
      </c>
    </row>
    <row r="57" spans="1:15" ht="14.5" customHeight="1" x14ac:dyDescent="0.35">
      <c r="A57" s="59" t="s">
        <v>152</v>
      </c>
      <c r="B57" s="34">
        <v>963</v>
      </c>
      <c r="C57" s="34">
        <v>0.13250000000000001</v>
      </c>
      <c r="D57" s="34">
        <v>2916</v>
      </c>
      <c r="E57" s="34">
        <v>9.64E-2</v>
      </c>
      <c r="F57" s="35">
        <f t="shared" si="17"/>
        <v>1.3744813278008299</v>
      </c>
    </row>
    <row r="58" spans="1:15" x14ac:dyDescent="0.35">
      <c r="A58" s="1" t="s">
        <v>153</v>
      </c>
      <c r="B58">
        <v>961</v>
      </c>
      <c r="C58">
        <v>0.1321</v>
      </c>
      <c r="D58">
        <v>2916</v>
      </c>
      <c r="E58">
        <v>3.5999999999999997E-2</v>
      </c>
      <c r="F58" s="14">
        <f t="shared" ref="F58:F62" si="18">C58/E58</f>
        <v>3.6694444444444447</v>
      </c>
    </row>
    <row r="59" spans="1:15" x14ac:dyDescent="0.35">
      <c r="A59" s="1" t="s">
        <v>154</v>
      </c>
      <c r="B59">
        <v>960</v>
      </c>
      <c r="C59">
        <v>0.12770000000000001</v>
      </c>
      <c r="D59">
        <v>2917</v>
      </c>
      <c r="E59">
        <v>8.2100000000000006E-2</v>
      </c>
      <c r="F59" s="14">
        <f t="shared" si="18"/>
        <v>1.5554202192448234</v>
      </c>
    </row>
    <row r="60" spans="1:15" x14ac:dyDescent="0.35">
      <c r="A60" s="1" t="s">
        <v>155</v>
      </c>
      <c r="B60">
        <v>965</v>
      </c>
      <c r="C60">
        <v>0.13969999999999999</v>
      </c>
      <c r="D60">
        <v>2916</v>
      </c>
      <c r="E60">
        <v>3.7900000000000003E-2</v>
      </c>
      <c r="F60" s="14">
        <f>C60/E60</f>
        <v>3.6860158311345641</v>
      </c>
    </row>
    <row r="61" spans="1:15" x14ac:dyDescent="0.35">
      <c r="A61" s="1" t="s">
        <v>156</v>
      </c>
      <c r="B61">
        <v>960</v>
      </c>
      <c r="C61">
        <v>0.14410000000000001</v>
      </c>
      <c r="D61">
        <v>2917</v>
      </c>
      <c r="E61">
        <v>7.0499999999999993E-2</v>
      </c>
      <c r="F61" s="14">
        <f t="shared" si="18"/>
        <v>2.0439716312056739</v>
      </c>
    </row>
    <row r="62" spans="1:15" ht="15" thickBot="1" x14ac:dyDescent="0.4">
      <c r="A62" s="21" t="s">
        <v>157</v>
      </c>
      <c r="B62" s="15">
        <v>964</v>
      </c>
      <c r="C62" s="15">
        <v>0.13600000000000001</v>
      </c>
      <c r="D62" s="15">
        <v>2916</v>
      </c>
      <c r="E62" s="15">
        <v>2.9600000000000001E-2</v>
      </c>
      <c r="F62" s="16">
        <f t="shared" si="18"/>
        <v>4.5945945945945947</v>
      </c>
    </row>
  </sheetData>
  <mergeCells count="9">
    <mergeCell ref="Q9:R9"/>
    <mergeCell ref="N1:N2"/>
    <mergeCell ref="I26:K26"/>
    <mergeCell ref="B1:C1"/>
    <mergeCell ref="D1:E1"/>
    <mergeCell ref="H1:H2"/>
    <mergeCell ref="I1:J1"/>
    <mergeCell ref="K1:L1"/>
    <mergeCell ref="M1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F7C6-FF85-4D60-B201-7B2CF34F2ED4}">
  <dimension ref="A1:D9"/>
  <sheetViews>
    <sheetView workbookViewId="0">
      <selection activeCell="H12" sqref="H12"/>
    </sheetView>
  </sheetViews>
  <sheetFormatPr baseColWidth="10" defaultRowHeight="14.5" x14ac:dyDescent="0.35"/>
  <cols>
    <col min="4" max="4" width="25.90625" customWidth="1"/>
  </cols>
  <sheetData>
    <row r="1" spans="1:4" x14ac:dyDescent="0.35">
      <c r="A1" s="104" t="s">
        <v>134</v>
      </c>
      <c r="B1" s="104"/>
      <c r="C1" s="104"/>
      <c r="D1" s="104"/>
    </row>
    <row r="2" spans="1:4" x14ac:dyDescent="0.35">
      <c r="A2" s="2"/>
      <c r="B2" s="2"/>
      <c r="C2" s="2" t="s">
        <v>30</v>
      </c>
      <c r="D2" s="2" t="s">
        <v>31</v>
      </c>
    </row>
    <row r="3" spans="1:4" x14ac:dyDescent="0.35">
      <c r="A3" s="2" t="s">
        <v>22</v>
      </c>
      <c r="B3" s="23">
        <v>0.98550899999999997</v>
      </c>
      <c r="C3" s="102">
        <f>AVERAGE(B3:B5)</f>
        <v>0.98702533333333331</v>
      </c>
      <c r="D3" s="103">
        <f>_xlfn.STDEV.S(B3:B5)</f>
        <v>4.59705126503212E-3</v>
      </c>
    </row>
    <row r="4" spans="1:4" x14ac:dyDescent="0.35">
      <c r="A4" s="2" t="s">
        <v>23</v>
      </c>
      <c r="B4" s="23">
        <v>0.99218899999999999</v>
      </c>
      <c r="C4" s="102"/>
      <c r="D4" s="103"/>
    </row>
    <row r="5" spans="1:4" x14ac:dyDescent="0.35">
      <c r="A5" s="2" t="s">
        <v>24</v>
      </c>
      <c r="B5" s="23">
        <v>0.98337799999999997</v>
      </c>
      <c r="C5" s="102"/>
      <c r="D5" s="103"/>
    </row>
    <row r="6" spans="1:4" x14ac:dyDescent="0.35">
      <c r="A6" s="2"/>
      <c r="B6" s="23"/>
      <c r="C6" s="2"/>
      <c r="D6" s="2"/>
    </row>
    <row r="7" spans="1:4" x14ac:dyDescent="0.35">
      <c r="A7" s="2" t="s">
        <v>25</v>
      </c>
      <c r="B7" s="23">
        <v>0.95995200000000003</v>
      </c>
      <c r="C7" s="102">
        <f>AVERAGE(B7:B9)</f>
        <v>0.96054166666666674</v>
      </c>
      <c r="D7" s="103">
        <f>_xlfn.STDEV.S(B7:B9)</f>
        <v>2.2663254098503446E-2</v>
      </c>
    </row>
    <row r="8" spans="1:4" x14ac:dyDescent="0.35">
      <c r="A8" s="2" t="s">
        <v>26</v>
      </c>
      <c r="B8" s="23">
        <v>0.98349399999999998</v>
      </c>
      <c r="C8" s="102"/>
      <c r="D8" s="103"/>
    </row>
    <row r="9" spans="1:4" x14ac:dyDescent="0.35">
      <c r="A9" s="2" t="s">
        <v>27</v>
      </c>
      <c r="B9" s="23">
        <v>0.93817899999999999</v>
      </c>
      <c r="C9" s="102"/>
      <c r="D9" s="103"/>
    </row>
  </sheetData>
  <mergeCells count="5">
    <mergeCell ref="C7:C9"/>
    <mergeCell ref="D7:D9"/>
    <mergeCell ref="D3:D5"/>
    <mergeCell ref="C3:C5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Raw results fibers</vt:lpstr>
      <vt:lpstr>General results</vt:lpstr>
      <vt:lpstr>CI and COI</vt:lpstr>
      <vt:lpstr>PET and PVC FTIR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Ambroise Bellamy</dc:creator>
  <cp:lastModifiedBy>Ambroise Bellamy</cp:lastModifiedBy>
  <dcterms:created xsi:type="dcterms:W3CDTF">2023-05-15T13:09:30Z</dcterms:created>
  <dcterms:modified xsi:type="dcterms:W3CDTF">2025-05-01T21:11:50Z</dcterms:modified>
</cp:coreProperties>
</file>