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gabriel/Documents/CIRAIG/recherche/Supplementary_Material_PETRAUL/"/>
    </mc:Choice>
  </mc:AlternateContent>
  <xr:revisionPtr revIDLastSave="0" documentId="13_ncr:1_{39F4BEC2-8DB2-5848-8EC8-51150B2ADB02}" xr6:coauthVersionLast="47" xr6:coauthVersionMax="47" xr10:uidLastSave="{00000000-0000-0000-0000-000000000000}"/>
  <bookViews>
    <workbookView xWindow="0" yWindow="500" windowWidth="28800" windowHeight="17500" activeTab="6" xr2:uid="{F744E911-EE9F-6D42-8F44-3D119EDEAC87}"/>
  </bookViews>
  <sheets>
    <sheet name="Read Me" sheetId="19" r:id="rId1"/>
    <sheet name="body_config" sheetId="1" r:id="rId2"/>
    <sheet name="accessories_config" sheetId="18" r:id="rId3"/>
    <sheet name="gasoline_config" sheetId="13" r:id="rId4"/>
    <sheet name="electric_config" sheetId="14" r:id="rId5"/>
    <sheet name="battery_config" sheetId="15" r:id="rId6"/>
    <sheet name="drivetrain_config" sheetId="10" r:id="rId7"/>
    <sheet name="drivetrain_calculation" sheetId="11" r:id="rId8"/>
    <sheet name="Path_config" sheetId="6" r:id="rId9"/>
    <sheet name="driver_config" sheetId="16" r:id="rId10"/>
  </sheets>
  <definedNames>
    <definedName name="_xlnm._FilterDatabase" localSheetId="3" hidden="1">gasoline_config!$C$18:$P$18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60" i="10" l="1"/>
  <c r="G60" i="10"/>
  <c r="G59" i="10"/>
  <c r="H59" i="10"/>
  <c r="N54" i="10"/>
  <c r="M54" i="10"/>
  <c r="N52" i="10"/>
  <c r="M52" i="10"/>
  <c r="N51" i="10"/>
  <c r="M51" i="10"/>
  <c r="O40" i="13"/>
  <c r="E16" i="16"/>
  <c r="F16" i="16"/>
  <c r="D16" i="16"/>
  <c r="J22" i="14"/>
  <c r="I22" i="14"/>
  <c r="H22" i="14"/>
  <c r="G22" i="14"/>
  <c r="F22" i="14"/>
  <c r="E22" i="14"/>
  <c r="D22" i="14"/>
  <c r="J38" i="13" l="1"/>
  <c r="I38" i="13"/>
  <c r="H38" i="13"/>
  <c r="G38" i="13"/>
  <c r="F38" i="13"/>
  <c r="E38" i="13"/>
  <c r="D38" i="13"/>
  <c r="J37" i="13"/>
  <c r="I37" i="13"/>
  <c r="H37" i="13"/>
  <c r="G37" i="13"/>
  <c r="F37" i="13"/>
  <c r="E37" i="13"/>
  <c r="D37" i="13"/>
  <c r="J36" i="13"/>
  <c r="I36" i="13"/>
  <c r="H36" i="13"/>
  <c r="G36" i="13"/>
  <c r="F36" i="13"/>
  <c r="E36" i="13"/>
  <c r="D36" i="13"/>
  <c r="F17" i="11" l="1"/>
  <c r="F19" i="11"/>
  <c r="F18" i="11"/>
  <c r="E17" i="11"/>
  <c r="E18" i="11"/>
  <c r="E19" i="11"/>
  <c r="J20" i="11"/>
  <c r="I20" i="11"/>
  <c r="E9" i="11"/>
  <c r="G9" i="11" s="1"/>
  <c r="E8" i="11"/>
  <c r="G8" i="11" s="1"/>
  <c r="H7" i="11"/>
  <c r="E7" i="11"/>
  <c r="G7" i="11" s="1"/>
  <c r="E6" i="11"/>
  <c r="G6" i="11" s="1"/>
  <c r="E5" i="11"/>
  <c r="G5" i="11" s="1"/>
  <c r="G10" i="11" s="1"/>
  <c r="E10" i="11" l="1"/>
  <c r="J5" i="11"/>
  <c r="K5" i="11" s="1"/>
  <c r="J7" i="11"/>
  <c r="K7" i="11" s="1"/>
  <c r="J9" i="11"/>
  <c r="K9" i="11" s="1"/>
  <c r="J6" i="11"/>
  <c r="J8" i="11"/>
  <c r="K8" i="11" s="1"/>
  <c r="K12" i="11" l="1"/>
  <c r="J10" i="11"/>
  <c r="K10" i="11" s="1"/>
  <c r="M61" i="6" l="1"/>
  <c r="L61" i="6"/>
  <c r="K61" i="6"/>
  <c r="J61" i="6"/>
  <c r="I61" i="6"/>
  <c r="H61" i="6"/>
  <c r="G61" i="6"/>
  <c r="M41" i="6"/>
  <c r="L41" i="6"/>
  <c r="K41" i="6"/>
  <c r="J41" i="6"/>
  <c r="I41" i="6"/>
  <c r="H41" i="6"/>
  <c r="G41" i="6"/>
  <c r="M34" i="6"/>
  <c r="L34" i="6"/>
  <c r="K34" i="6"/>
  <c r="J34" i="6"/>
  <c r="I34" i="6"/>
  <c r="H34" i="6"/>
  <c r="G34" i="6"/>
  <c r="M31" i="6"/>
  <c r="L31" i="6"/>
  <c r="K31" i="6"/>
  <c r="J31" i="6"/>
  <c r="I31" i="6"/>
  <c r="H31" i="6"/>
  <c r="G31" i="6"/>
  <c r="Q23" i="1"/>
  <c r="R19" i="1" s="1"/>
  <c r="F28" i="1"/>
  <c r="G22" i="1" s="1"/>
  <c r="L36" i="1"/>
  <c r="L37" i="1"/>
  <c r="L38" i="1"/>
  <c r="L39" i="1"/>
  <c r="L35" i="1"/>
  <c r="K36" i="1"/>
  <c r="K37" i="1"/>
  <c r="K38" i="1"/>
  <c r="K39" i="1"/>
  <c r="K35" i="1"/>
  <c r="J36" i="1"/>
  <c r="J37" i="1"/>
  <c r="J38" i="1"/>
  <c r="J39" i="1"/>
  <c r="J35" i="1"/>
  <c r="I36" i="1"/>
  <c r="I37" i="1"/>
  <c r="I38" i="1"/>
  <c r="I39" i="1"/>
  <c r="I35" i="1"/>
  <c r="F9" i="1"/>
  <c r="F10" i="1"/>
  <c r="F11" i="1"/>
  <c r="F8" i="1"/>
  <c r="AG11" i="1"/>
  <c r="AG10" i="1"/>
  <c r="AG9" i="1"/>
  <c r="AG8" i="1"/>
  <c r="AC11" i="1"/>
  <c r="AC10" i="1"/>
  <c r="AC9" i="1"/>
  <c r="AC8" i="1"/>
  <c r="R12" i="1"/>
  <c r="R11" i="1"/>
  <c r="R10" i="1"/>
  <c r="R9" i="1"/>
  <c r="R8" i="1"/>
  <c r="L9" i="1"/>
  <c r="L10" i="1"/>
  <c r="L11" i="1"/>
  <c r="L12" i="1"/>
  <c r="L8" i="1"/>
  <c r="W9" i="1"/>
  <c r="W10" i="1"/>
  <c r="W11" i="1"/>
  <c r="W12" i="1"/>
  <c r="W8" i="1"/>
  <c r="G24" i="1" l="1"/>
  <c r="G26" i="1"/>
  <c r="G23" i="1"/>
  <c r="G25" i="1"/>
  <c r="G21" i="1"/>
  <c r="R18" i="1"/>
  <c r="R23" i="1"/>
  <c r="G18" i="1"/>
  <c r="R22" i="1"/>
  <c r="G20" i="1"/>
  <c r="G28" i="1"/>
  <c r="G19" i="1"/>
  <c r="R21" i="1"/>
  <c r="R20" i="1"/>
</calcChain>
</file>

<file path=xl/sharedStrings.xml><?xml version="1.0" encoding="utf-8"?>
<sst xmlns="http://schemas.openxmlformats.org/spreadsheetml/2006/main" count="880" uniqueCount="564">
  <si>
    <t>SUV</t>
  </si>
  <si>
    <t>A</t>
  </si>
  <si>
    <t>R0</t>
  </si>
  <si>
    <t>Cd</t>
  </si>
  <si>
    <t>i/r2</t>
  </si>
  <si>
    <t>Sacchi</t>
  </si>
  <si>
    <t>Del Pero</t>
  </si>
  <si>
    <t>Pick-ups</t>
  </si>
  <si>
    <t>N</t>
  </si>
  <si>
    <t>Argonne</t>
  </si>
  <si>
    <t>Small / Compact</t>
  </si>
  <si>
    <t xml:space="preserve">Medium </t>
  </si>
  <si>
    <t>Large / Small SUV</t>
  </si>
  <si>
    <t>Curb Mass</t>
  </si>
  <si>
    <t>Bishop</t>
  </si>
  <si>
    <t>SELECTED</t>
  </si>
  <si>
    <t>Yin 2020</t>
  </si>
  <si>
    <t>mini citadine</t>
  </si>
  <si>
    <t>Deux places</t>
  </si>
  <si>
    <t>Sous-compacte</t>
  </si>
  <si>
    <t>Compacte</t>
  </si>
  <si>
    <t>Intermédiaire</t>
  </si>
  <si>
    <t>Grande Berline</t>
  </si>
  <si>
    <t>Familiale</t>
  </si>
  <si>
    <t>Camionnette</t>
  </si>
  <si>
    <t>VUS</t>
  </si>
  <si>
    <t>Fourgonnette</t>
  </si>
  <si>
    <t>QC</t>
  </si>
  <si>
    <t>Lower medium</t>
  </si>
  <si>
    <t>Dual purpose</t>
  </si>
  <si>
    <t>Executive</t>
  </si>
  <si>
    <t>Luxury</t>
  </si>
  <si>
    <t>Mini</t>
  </si>
  <si>
    <t>SuperMini</t>
  </si>
  <si>
    <t>Multipurpose</t>
  </si>
  <si>
    <t>Upper Medium</t>
  </si>
  <si>
    <t>Specialist Sport</t>
  </si>
  <si>
    <t>Small</t>
  </si>
  <si>
    <t>Lower Med</t>
  </si>
  <si>
    <t>Medium</t>
  </si>
  <si>
    <t>Sport</t>
  </si>
  <si>
    <t>Van</t>
  </si>
  <si>
    <t>EU</t>
  </si>
  <si>
    <t>Sedan</t>
  </si>
  <si>
    <t>Truck SUV</t>
  </si>
  <si>
    <t>Pickup</t>
  </si>
  <si>
    <t>Sedan group 1 &lt;1000kg</t>
  </si>
  <si>
    <t>mini</t>
  </si>
  <si>
    <t>UK</t>
  </si>
  <si>
    <t>M</t>
  </si>
  <si>
    <t>r</t>
  </si>
  <si>
    <t>C</t>
  </si>
  <si>
    <t>i</t>
  </si>
  <si>
    <t>US</t>
  </si>
  <si>
    <t>Range</t>
  </si>
  <si>
    <t>Source</t>
  </si>
  <si>
    <t>Grunditz 2016</t>
  </si>
  <si>
    <t>Large</t>
  </si>
  <si>
    <t>Comments</t>
  </si>
  <si>
    <t>Variation of voltage due to temperature neglected</t>
  </si>
  <si>
    <t>Parameter</t>
  </si>
  <si>
    <t>Ottaviano 2012</t>
  </si>
  <si>
    <t>Average B</t>
  </si>
  <si>
    <t>City</t>
  </si>
  <si>
    <t>Unloaded trucks</t>
  </si>
  <si>
    <t>deligianni 2017</t>
  </si>
  <si>
    <t>Saint-Pierre 2022</t>
  </si>
  <si>
    <t>Stanczyk 2023 smooth</t>
  </si>
  <si>
    <t>Stanczyk 2023 average</t>
  </si>
  <si>
    <t>Stanczyc 2023 aggressive</t>
  </si>
  <si>
    <t>Deceleration</t>
  </si>
  <si>
    <t>Speed Compliance</t>
  </si>
  <si>
    <t>Literature Range</t>
  </si>
  <si>
    <t>0.43-1.32</t>
  </si>
  <si>
    <t>SANEF 2023</t>
  </si>
  <si>
    <t>France</t>
  </si>
  <si>
    <t>Mean μ</t>
  </si>
  <si>
    <t>0.76-1.1</t>
  </si>
  <si>
    <t>Germany</t>
  </si>
  <si>
    <t xml:space="preserve">Observatoire vitesse 2021 </t>
  </si>
  <si>
    <t>Q1-Q3 Range μ</t>
  </si>
  <si>
    <t>1.05-1.13</t>
  </si>
  <si>
    <t>1.08-1.15</t>
  </si>
  <si>
    <t xml:space="preserve">USA </t>
  </si>
  <si>
    <t>0.76-1.17</t>
  </si>
  <si>
    <t>0.9-1.1</t>
  </si>
  <si>
    <t>Reference</t>
  </si>
  <si>
    <t>Example</t>
  </si>
  <si>
    <t>Share QC</t>
  </si>
  <si>
    <t>Share EU</t>
  </si>
  <si>
    <t>Share UK</t>
  </si>
  <si>
    <t>Share US</t>
  </si>
  <si>
    <t>Technological Scenarios</t>
  </si>
  <si>
    <t>Total</t>
  </si>
  <si>
    <t>Number</t>
  </si>
  <si>
    <t>Share</t>
  </si>
  <si>
    <t>USA Sedan Details</t>
  </si>
  <si>
    <t>Group &lt; 1300kg</t>
  </si>
  <si>
    <t>Group &lt;1450kg</t>
  </si>
  <si>
    <t>Group &lt; 1650kg</t>
  </si>
  <si>
    <t>Group &gt; 1650kg</t>
  </si>
  <si>
    <t>Regional Distribution Market</t>
  </si>
  <si>
    <t>Powertrain</t>
  </si>
  <si>
    <t>Transmission Efficiency</t>
  </si>
  <si>
    <t>Cox 2022</t>
  </si>
  <si>
    <t>0.75-0.85</t>
  </si>
  <si>
    <t>Regenerative Efficiency</t>
  </si>
  <si>
    <t>0.88-0.95</t>
  </si>
  <si>
    <t>Kim 2016</t>
  </si>
  <si>
    <t>Hjelkrem 2020</t>
  </si>
  <si>
    <t>0.75-0.8</t>
  </si>
  <si>
    <t>Sacchi 2022</t>
  </si>
  <si>
    <t>0.85-0.9</t>
  </si>
  <si>
    <t>distance</t>
  </si>
  <si>
    <t>J3_path</t>
  </si>
  <si>
    <t>K</t>
  </si>
  <si>
    <t>J0_path</t>
  </si>
  <si>
    <t>B_tot</t>
  </si>
  <si>
    <t>Pa</t>
  </si>
  <si>
    <t>EPA</t>
  </si>
  <si>
    <t>wltp</t>
  </si>
  <si>
    <t>US06</t>
  </si>
  <si>
    <t>SC03</t>
  </si>
  <si>
    <t>nycc</t>
  </si>
  <si>
    <t>NEDC</t>
  </si>
  <si>
    <t>LA92</t>
  </si>
  <si>
    <t>jc08</t>
  </si>
  <si>
    <t>j1015</t>
  </si>
  <si>
    <t>FTPM</t>
  </si>
  <si>
    <t>FTP75</t>
  </si>
  <si>
    <t>ftp72</t>
  </si>
  <si>
    <t>Complete Path Studied</t>
  </si>
  <si>
    <t>proportion</t>
  </si>
  <si>
    <t>B</t>
  </si>
  <si>
    <t>Average fluid</t>
  </si>
  <si>
    <t>Average Traffic</t>
  </si>
  <si>
    <t>Average</t>
  </si>
  <si>
    <t>Urban Roads</t>
  </si>
  <si>
    <t>City Roads</t>
  </si>
  <si>
    <t>Rural Roads</t>
  </si>
  <si>
    <t>wltp (EU)</t>
  </si>
  <si>
    <t>Average US</t>
  </si>
  <si>
    <t>Highways</t>
  </si>
  <si>
    <t>WLTP</t>
  </si>
  <si>
    <t>JC08</t>
  </si>
  <si>
    <t>Aggressive</t>
  </si>
  <si>
    <t>max_eff</t>
  </si>
  <si>
    <t>n_i</t>
  </si>
  <si>
    <t>ecart</t>
  </si>
  <si>
    <t>F1</t>
  </si>
  <si>
    <t>M1</t>
  </si>
  <si>
    <t>M3</t>
  </si>
  <si>
    <t>F3</t>
  </si>
  <si>
    <t>M5</t>
  </si>
  <si>
    <t>T1</t>
  </si>
  <si>
    <t>H1</t>
  </si>
  <si>
    <t>C1</t>
  </si>
  <si>
    <t>F2</t>
  </si>
  <si>
    <t>M2</t>
  </si>
  <si>
    <t>T2</t>
  </si>
  <si>
    <t>M4</t>
  </si>
  <si>
    <t>M6</t>
  </si>
  <si>
    <t>H2</t>
  </si>
  <si>
    <t>F4</t>
  </si>
  <si>
    <t>C2</t>
  </si>
  <si>
    <t>41-44%</t>
  </si>
  <si>
    <t>58-63%</t>
  </si>
  <si>
    <t>100-160</t>
  </si>
  <si>
    <t>we estimated fmep0 and pmep0 from figure 7. For pmep0, impact at rpm=6000 gives 160kPa --&gt; pmep0.N2 = 160000 --&gt; pmep0=4e-4 kPa</t>
  </si>
  <si>
    <t>Kamil 2014</t>
  </si>
  <si>
    <t>Ross 1997</t>
  </si>
  <si>
    <t xml:space="preserve">chapter 13 : fmep0=0.97bars and pmep0=0.05*(30/3.14/1000)^2*100 // Figure 13-10, at low rpm, pmep decrease from around 100kpa at no-load to 40kpa at bmep=1000kpa --&gt; m=60/1000=6% </t>
  </si>
  <si>
    <t>56-62%</t>
  </si>
  <si>
    <t xml:space="preserve">chapter 1 : compression ratio 8 to 12 SI engines // chapter 5 : indicated efficiency </t>
  </si>
  <si>
    <t>n_t</t>
  </si>
  <si>
    <t>32-41%</t>
  </si>
  <si>
    <t>35-38%</t>
  </si>
  <si>
    <t>Q0 [kPa/s]</t>
  </si>
  <si>
    <t>fmep0 [kPa]</t>
  </si>
  <si>
    <t>pmep0 [kPa.s2]</t>
  </si>
  <si>
    <t>Conversion : 1l/h = 9000W // D=3.6l // n_i=0.4</t>
  </si>
  <si>
    <t>From Willans Lines : Q0 = X0*9000/D*n_i // fmep0 = (7.12e-4*30/3.14*9000)*4*pi/D*n_i  // no pmep has third term is prop to N2..</t>
  </si>
  <si>
    <t>40-42%</t>
  </si>
  <si>
    <t>n_diff</t>
  </si>
  <si>
    <t>Engine Overall Efficiency</t>
  </si>
  <si>
    <t>Engine Diff Efficiency</t>
  </si>
  <si>
    <t>Rohde 2019</t>
  </si>
  <si>
    <t>Levickis</t>
  </si>
  <si>
    <t>116-143</t>
  </si>
  <si>
    <t>5.5-7%</t>
  </si>
  <si>
    <t>incl. manifold [kPa]</t>
  </si>
  <si>
    <t>55-70</t>
  </si>
  <si>
    <t>Nam 2004</t>
  </si>
  <si>
    <t>123-172</t>
  </si>
  <si>
    <t>85-172</t>
  </si>
  <si>
    <t>4e-4 - 4.6e-4</t>
  </si>
  <si>
    <t>56-63%</t>
  </si>
  <si>
    <t>9-10%</t>
  </si>
  <si>
    <t>40-47%</t>
  </si>
  <si>
    <t>0-466</t>
  </si>
  <si>
    <t>0.75-0.9</t>
  </si>
  <si>
    <t>0.85-0.98</t>
  </si>
  <si>
    <t>0.73-0.85</t>
  </si>
  <si>
    <t>Battery Efficiency (charging)</t>
  </si>
  <si>
    <t>Battery Efficiency (discharging)</t>
  </si>
  <si>
    <t>I1</t>
  </si>
  <si>
    <t>Electric Engine Eff Maps</t>
  </si>
  <si>
    <t>Literature review efficiency electric powertrain</t>
  </si>
  <si>
    <t>Pmax [W]</t>
  </si>
  <si>
    <t>alpha [N]</t>
  </si>
  <si>
    <t>epsilon [1/N.s]</t>
  </si>
  <si>
    <t>betha [W]</t>
  </si>
  <si>
    <t>Heywood 1988</t>
  </si>
  <si>
    <t>90-98%</t>
  </si>
  <si>
    <t>Schwertner 2016</t>
  </si>
  <si>
    <t>Electric</t>
  </si>
  <si>
    <t>Irimescu 2011</t>
  </si>
  <si>
    <t>83-95%</t>
  </si>
  <si>
    <t>85-91%</t>
  </si>
  <si>
    <t>Miri 2020</t>
  </si>
  <si>
    <t>Accesories</t>
  </si>
  <si>
    <t>0.8-0.95</t>
  </si>
  <si>
    <t>Cycle</t>
  </si>
  <si>
    <t>CADC</t>
  </si>
  <si>
    <t>Distance(m)</t>
  </si>
  <si>
    <t>Share Urban</t>
  </si>
  <si>
    <t>WLTP_start (urban)</t>
  </si>
  <si>
    <t>NEDC-Urban</t>
  </si>
  <si>
    <t>NEDC-Hwy</t>
  </si>
  <si>
    <t>Habermehl</t>
  </si>
  <si>
    <t>Overall Efficiency review</t>
  </si>
  <si>
    <t>Thermal</t>
  </si>
  <si>
    <t>n_tr</t>
  </si>
  <si>
    <t>Manual</t>
  </si>
  <si>
    <t>Automatic</t>
  </si>
  <si>
    <t>Engine Speed</t>
  </si>
  <si>
    <t>Ne [rpm]</t>
  </si>
  <si>
    <t>Ref</t>
  </si>
  <si>
    <t>Tsokolis, Del Pero</t>
  </si>
  <si>
    <t>Auto</t>
  </si>
  <si>
    <t>Idle</t>
  </si>
  <si>
    <t>650-750</t>
  </si>
  <si>
    <t>Tsokolis, Moskalik</t>
  </si>
  <si>
    <t>FWD</t>
  </si>
  <si>
    <t>AWD</t>
  </si>
  <si>
    <t>RWD</t>
  </si>
  <si>
    <t>a_diff</t>
  </si>
  <si>
    <t>n_tr_gear</t>
  </si>
  <si>
    <t>a_gear</t>
  </si>
  <si>
    <t>n_tr_diff</t>
  </si>
  <si>
    <t>0.96-0.975</t>
  </si>
  <si>
    <t>0.96-0.972</t>
  </si>
  <si>
    <t xml:space="preserve">EPA </t>
  </si>
  <si>
    <t>Supplementary Explanation</t>
  </si>
  <si>
    <t>Automatic Gearboxes have torque converter loss but no clutches losses in comparison to Manual Gearboxes. By comparing losses shown in Kunt 2021 with data for a_gear taken from EPA, we demonstrated that S remain constant between Auto and Manual Gearbox.</t>
  </si>
  <si>
    <t>0.92-0.94</t>
  </si>
  <si>
    <t>0.96-0.98</t>
  </si>
  <si>
    <t>S_urban</t>
  </si>
  <si>
    <t>S_highway</t>
  </si>
  <si>
    <t>additional calc.</t>
  </si>
  <si>
    <t>transmission_calculation</t>
  </si>
  <si>
    <t>By locking unuse driving axle, part of driving axle losses from rear axle can be avoided for AWD (Vantsevich 2008)</t>
  </si>
  <si>
    <t>Baran et al. 1988</t>
  </si>
  <si>
    <t>Baran 1988, da Silva 2017, Schwertner 2016,Vantsevich 2008</t>
  </si>
  <si>
    <t>da Silva Gomes Pereira Correia 2017</t>
  </si>
  <si>
    <t>Vantsevich 2008</t>
  </si>
  <si>
    <t>Calculation I - Synchronization Losses (from Habermehl)</t>
  </si>
  <si>
    <t>Total Transmission Losses (J)</t>
  </si>
  <si>
    <t>Total Synchronization Losses [J]</t>
  </si>
  <si>
    <t>Number of gearshifts</t>
  </si>
  <si>
    <t>% Impact due to Synchronization</t>
  </si>
  <si>
    <t>Impact per shift</t>
  </si>
  <si>
    <t>Impact/distance (J/m)</t>
  </si>
  <si>
    <t>Impact/distance_urban</t>
  </si>
  <si>
    <t>T</t>
  </si>
  <si>
    <t>P_loss</t>
  </si>
  <si>
    <t>P_model_min</t>
  </si>
  <si>
    <t>P_model_max</t>
  </si>
  <si>
    <t>a</t>
  </si>
  <si>
    <t>P_max</t>
  </si>
  <si>
    <t>Model Min</t>
  </si>
  <si>
    <t>Model Max</t>
  </si>
  <si>
    <t>a/P_max</t>
  </si>
  <si>
    <t>Value taken</t>
  </si>
  <si>
    <t>Calculation II - Axle Losses</t>
  </si>
  <si>
    <t>4e-6 - 1e-5</t>
  </si>
  <si>
    <t>2e-5 - 3e-5</t>
  </si>
  <si>
    <t>2e-5 - 4e-5</t>
  </si>
  <si>
    <t>1.1e-5 - 2.5e-5</t>
  </si>
  <si>
    <t>As axle losses are calculated to be responsible for 1E-5 according to da Silva, this value is substracted from a_gear.</t>
  </si>
  <si>
    <t>Power (W)</t>
  </si>
  <si>
    <t>Config</t>
  </si>
  <si>
    <t>?</t>
  </si>
  <si>
    <t>N/A</t>
  </si>
  <si>
    <t>EPA 2022</t>
  </si>
  <si>
    <t>Diaz 2021</t>
  </si>
  <si>
    <t>Displacement (L)</t>
  </si>
  <si>
    <t>D (L)</t>
  </si>
  <si>
    <t>fmep0 (kPa)</t>
  </si>
  <si>
    <t>p0 (kPa.s2)</t>
  </si>
  <si>
    <t>Q0 (kPa/s)</t>
  </si>
  <si>
    <t>Mean values for 'light duty truck'</t>
  </si>
  <si>
    <t>Mean values</t>
  </si>
  <si>
    <t>Mean values for Sedan &lt;2750lbs</t>
  </si>
  <si>
    <t>Mean values for Upper Med.</t>
  </si>
  <si>
    <t>Mean values for compact</t>
  </si>
  <si>
    <t>Configuration</t>
  </si>
  <si>
    <t>Order of magnitude for optimization</t>
  </si>
  <si>
    <t>Data range from Literature Review for determining order of magnitude for optimization algorithm</t>
  </si>
  <si>
    <t>Marklines 2013</t>
  </si>
  <si>
    <t>Bibliography</t>
  </si>
  <si>
    <t>Best Cases</t>
  </si>
  <si>
    <t>Worst Cases</t>
  </si>
  <si>
    <t>EEA 2024</t>
  </si>
  <si>
    <t>Max for compact car: Mini cooper</t>
  </si>
  <si>
    <t>Max for medium car: Toyota Supra</t>
  </si>
  <si>
    <t>Max EPA for truck &lt;6000lbs : Range Rover</t>
  </si>
  <si>
    <t>Min for large car : VW MultiVan</t>
  </si>
  <si>
    <t>Min for medium car : Kia Slovakia</t>
  </si>
  <si>
    <t>Min from EPA</t>
  </si>
  <si>
    <t>70% of New European cars are equipped by start and stop in 2013</t>
  </si>
  <si>
    <t>50% of US cars are equipped by start and stop in 2022</t>
  </si>
  <si>
    <t>idle_factor</t>
  </si>
  <si>
    <t>All</t>
  </si>
  <si>
    <t>Config.</t>
  </si>
  <si>
    <t>cs [J/W/m]</t>
  </si>
  <si>
    <t>EPA Maps</t>
  </si>
  <si>
    <t>Average additional energy consumed during EPA_1 vs EPA_3 (same cycle, EPA_1 with cold start, EPA_3 with hot start)</t>
  </si>
  <si>
    <t>n</t>
  </si>
  <si>
    <t>Other cases</t>
  </si>
  <si>
    <t>Smallest</t>
  </si>
  <si>
    <t>Largest</t>
  </si>
  <si>
    <t>Torque (N)</t>
  </si>
  <si>
    <t>Galvin 2022</t>
  </si>
  <si>
    <t>Small: Renault Twingo</t>
  </si>
  <si>
    <t>Large: Q8</t>
  </si>
  <si>
    <t>Largest: Tesla Model X</t>
  </si>
  <si>
    <t>Mean value of car sold</t>
  </si>
  <si>
    <t>Worst Case</t>
  </si>
  <si>
    <t xml:space="preserve">@15°C </t>
  </si>
  <si>
    <t>Ross, M. Fuel efficiency and the physics of automobiles. Contemp Phys 38, 381–394 (1997).</t>
  </si>
  <si>
    <t>Kamil, M., Rahman, M. M. &amp; A. Bakar, R. An Integrated Model for Predicting Engine Friction Losses in Internal Combustion Engines. International Journal of Automotive and Mechanical Engineering 9, 1695–1708 (2014).</t>
  </si>
  <si>
    <t>Rohde-Brandenburger, K. Verbrauch in Fahrzyklen und im Realverkehr. in Energiemanagement im Kraftfahrzeug 243–306 (Springer Fachmedien Wiesbaden, Wiesbaden, 2014). doi:10.1007/978-3-658-04451-0_7.</t>
  </si>
  <si>
    <t>Hjelkrem, O. A., Arnesen, P., Aarseth Bø, T. &amp; Sondell, R. S. Estimation of tank-to-wheel efficiency functions based on type approval data. Appl Energy 276, 115463 (2020).</t>
  </si>
  <si>
    <t>Heywood, J. Internal Combustion Engine Fundamentals, 2nd Edition. (McGraw Hill Education, 1988).</t>
  </si>
  <si>
    <t>Levickis, D., Gailis, M., Rudzitis, J. &amp; Kreicbergs, J. Evaluation of methodology for determination of mechanical efficiency of spark ignition engine. in (2019). doi:10.22616/ERDev2019.18.N300.</t>
  </si>
  <si>
    <t>Levickis 2019</t>
  </si>
  <si>
    <t>Nam, E. K. &amp; Sorab, J. Friction Reduction Trends in Modern Engines. in (2004). doi:10.4271/2004-01-1456.</t>
  </si>
  <si>
    <t>Díaz, S. et al. European Vehicle Market Statistics 2020/2021. http://eupocketbook.theicct.org (2021).</t>
  </si>
  <si>
    <t>EPA. The 2022 EPA Automotive Trends Report: Greenhouse Gas Emissions, Fuel Economy, and Technology since 1975. https://www.epa.gov/automotive-trends (2022).</t>
  </si>
  <si>
    <t>Cox, B., Bauer, C., Mendoza Beltran, A., van Vuuren, D. P. &amp; Mutel, C. L. Life cycle environmental and cost comparison of current and future passenger cars under different energy scenarios. Appl Energy 269, 115021 (2020).</t>
  </si>
  <si>
    <t>Kim, H. C. &amp; Wallington, T. J. Life Cycle Assessment of Vehicle Lightweighting: A Physics-Based Model to Estimate Use-Phase Fuel Consumption of Electrified Vehicles. Environ Sci Technol 50, 11226–11233 (2016).</t>
  </si>
  <si>
    <t>Hawkins, T. R., Singh, B., Majeau‐Bettez, G. &amp; Strømman, A. H. Comparative Environmental Life Cycle Assessment of Conventional and Electric Vehicles. J Ind Ecol 17, 53–64 (2013).</t>
  </si>
  <si>
    <t>Hawkins 2013</t>
  </si>
  <si>
    <t>Sacchi, R., Bauer, C., Cox, B. &amp; Mutel, C. When, where and how can the electrification of passenger cars reduce greenhouse gas emissions? Renewable and Sustainable Energy Reviews 162, (2022).</t>
  </si>
  <si>
    <t>Miri, I., Fotouhi, A. &amp; Ewin, N. Electric vehicle energy consumption modelling and estimation—A case study. Int J Energy Res 45, 501–520 (2021).</t>
  </si>
  <si>
    <t>Grunditz 2016; Kostopoulos 2020; Reick 2021</t>
  </si>
  <si>
    <t>Grunditz efficiency between 90-95% // Kostopoulos 88% // Reick 84-87%</t>
  </si>
  <si>
    <t>Reick, B., Konzept, A., Kaufmann, A., Stetter, R. &amp; Engelmann, D. Influence of Charging Losses on Energy Consumption and CO2 Emissions of Battery-Electric Vehicles. Vehicles 3, 736–748 (2021).</t>
  </si>
  <si>
    <t>Ottaviano, D. Technical Assessment and Modeling of Lithium-Ion Batteries for Electric Vehicles.</t>
  </si>
  <si>
    <t>Kostopoulos, E. D., Spyropoulos, G. C. &amp; Kaldellis, J. K. Real-world study for the optimal charging of electric vehicles. Energy Reports 6, 418–426 (2020).</t>
  </si>
  <si>
    <t>Grunditz, E. A. &amp; Thiringer, T. Performance analysis of current BEVs based on a comprehensive review of specifications. IEEE Transactions on Transportation Electrification vol. 2 270–289 Preprint at https://doi.org/10.1109/TTE.2016.2571783 (2016).</t>
  </si>
  <si>
    <t>Kostopoulos 2020</t>
  </si>
  <si>
    <t>Reick 2021</t>
  </si>
  <si>
    <t>Cox 2020</t>
  </si>
  <si>
    <t>Grunditz 2016; Cox 2020</t>
  </si>
  <si>
    <t>European Environment Agency. EEA Data: Monitoring of CO2 emissions from passenger cars – Regulation (EU) 2019/631. https://co2cars.apps.eea.europa.eu/ , consulted on 08-01-24 (2023).</t>
  </si>
  <si>
    <t>Galvin, R. Are electric vehicles getting too big and heavy? Modelling future vehicle journeying demand on a decarbonized US electricity grid. Energy Policy 161, 112746 (2022).</t>
  </si>
  <si>
    <t>Bishop 2014</t>
  </si>
  <si>
    <t>Argonne 2016</t>
  </si>
  <si>
    <t>SMMT</t>
  </si>
  <si>
    <t xml:space="preserve">Pineau </t>
  </si>
  <si>
    <t>EU (Diaz 2021)</t>
  </si>
  <si>
    <t>USA (EPA 2022)</t>
  </si>
  <si>
    <t>UK (SMMT 2021)</t>
  </si>
  <si>
    <t>QC (Pineau 2023°</t>
  </si>
  <si>
    <t>Bishop, J. D. K., Martin, N. P. D. &amp; Boies, A. M. Cost-effectiveness of alternative powertrains for reduced energy use and CO2 emissions in passenger vehicles. Appl Energy 124, 44–61 (2014).</t>
  </si>
  <si>
    <t>SMMT. SMMT MOTOR INDUSTRY FACTS 2023. www.smmt.co.uk/memberservices (2023).</t>
  </si>
  <si>
    <t>Pineau, P.-O. &amp; Vincent, B. Tendances Du Parc Automobile Québécois 2013-2021.</t>
  </si>
  <si>
    <t>0.43-0.62</t>
  </si>
  <si>
    <t>Average EU</t>
  </si>
  <si>
    <t>Extra ecodriver</t>
  </si>
  <si>
    <t>Ecodriver</t>
  </si>
  <si>
    <t>Extra Aggressive</t>
  </si>
  <si>
    <t>Deceleration B (m/s2)</t>
  </si>
  <si>
    <r>
      <t>speed compliance μ</t>
    </r>
    <r>
      <rPr>
        <vertAlign val="subscript"/>
        <sz val="12"/>
        <color theme="1"/>
        <rFont val="Calibri (Corps)"/>
      </rPr>
      <t>v</t>
    </r>
  </si>
  <si>
    <r>
      <t>acceleration behavior μ</t>
    </r>
    <r>
      <rPr>
        <vertAlign val="subscript"/>
        <sz val="12"/>
        <color theme="1"/>
        <rFont val="Calibri (Corps)"/>
      </rPr>
      <t>a</t>
    </r>
  </si>
  <si>
    <r>
      <t>engine speed μ</t>
    </r>
    <r>
      <rPr>
        <vertAlign val="subscript"/>
        <sz val="12"/>
        <color theme="1"/>
        <rFont val="Calibri (Corps)"/>
      </rPr>
      <t>N</t>
    </r>
  </si>
  <si>
    <t>Acceleration</t>
  </si>
  <si>
    <t>Karrouchi 2023 Aggress.</t>
  </si>
  <si>
    <t>Karrouchi 2023 Ecodriving</t>
  </si>
  <si>
    <t>Karrouchi 2023 average</t>
  </si>
  <si>
    <t>Habermehl, C., Jacobs, G. &amp; Neumann, S. A modeling method for gear transmission efficiency in transient operating conditions. Mech Mach Theory 153, 103996 (2020).</t>
  </si>
  <si>
    <t>Irimescu, A., Mihon, L. &amp; Pãdure, G. Automotive transmission efficiency measurement using a chassis dynamometer. International Journal of Automotive Technology 12, 555–559 (2011).</t>
  </si>
  <si>
    <t>Schwertner, M. &amp; Weidmann, U. Comparison of Well-to-Wheel Efficiencies for Different Drivetrain Configurations of Transit Buses. Transportation Research Record: Journal of the Transportation Research Board 2539, 55–64 (2016).</t>
  </si>
  <si>
    <t>Vantsevich, V. V. Power losses and energy efficiency of multi-wheel drive vehicles: A method for evaluation. J Terramech 45, 89–101 (2008).</t>
  </si>
  <si>
    <t>Da Silva Gomes Pereira Correia, M. J. Power Loss Modelling of a Rear Axle Transmission with Experimental Study of No-Load Losses. (2017).</t>
  </si>
  <si>
    <t>Baran, J. K., Renneker, C. M. &amp; Malloy, J. D. All Wheel Drive Efficiency Testing. Journal of Passenger Cars 97, 805–814 (1988).</t>
  </si>
  <si>
    <t>Moskalik, A., Stuhldreher, M. &amp; Kargul, J. Benchmarking a 2018 Toyota Camry UB80E Eight-Speed Automatic Transmission. in (2020). doi:10.4271/2020-01-1286.</t>
  </si>
  <si>
    <t>Habermehl 2020</t>
  </si>
  <si>
    <t>EPA 2023</t>
  </si>
  <si>
    <t>Del Pero 2015</t>
  </si>
  <si>
    <t>Tsokolis, D. et al. Fuel consumption and CO2 emissions of passenger cars over the New Worldwide Harmonized Test Protocol. Appl Energy 179, 1152–1165 (2016).</t>
  </si>
  <si>
    <t>Tsokolis 2016</t>
  </si>
  <si>
    <t>Moskalik 2018</t>
  </si>
  <si>
    <t>driving cycles EU Average</t>
  </si>
  <si>
    <t>driving cycles US Average</t>
  </si>
  <si>
    <t>0.04-0.14</t>
  </si>
  <si>
    <t>Fontaras 2015</t>
  </si>
  <si>
    <t>Fontaras, G. et al. The difference between reported and real-world CO 2 emissions: How much improvement can be expected by WLTP introduction? Transportation Research Procedia 25, 3933–3943 (2017).</t>
  </si>
  <si>
    <t>Fontaras 2017</t>
  </si>
  <si>
    <t>Del Duce 2016</t>
  </si>
  <si>
    <t>Del Duce, A., Gauch, M. &amp; Althaus, H. J. Electric passenger car transport and passenger car life cycle inventories in ecoinvent version 3. International Journal of Life Cycle Assessment 21, 1314–1326 (2016).</t>
  </si>
  <si>
    <t>Electronical</t>
  </si>
  <si>
    <t>Cold</t>
  </si>
  <si>
    <t>Heat (EV only)</t>
  </si>
  <si>
    <t>75-125</t>
  </si>
  <si>
    <t>200-500</t>
  </si>
  <si>
    <t>50-600</t>
  </si>
  <si>
    <t>344-979 (EV)</t>
  </si>
  <si>
    <t>75-100</t>
  </si>
  <si>
    <t>250-350</t>
  </si>
  <si>
    <t>200-350</t>
  </si>
  <si>
    <t>500 (gas)</t>
  </si>
  <si>
    <t>350-450 (gas)
525-875 (EV)</t>
  </si>
  <si>
    <t>1370 (EV)</t>
  </si>
  <si>
    <t>300 (EV)</t>
  </si>
  <si>
    <t>750 (gas/EV)</t>
  </si>
  <si>
    <t>US06 showed a high engine speed vs WLTP which serves as reference (40% more according to Kunt 2021 in real conditions). TREMOVE model +20% for engine speed because of agressive behavior. The engine speed from average US is thus estimated to be 1.2.</t>
  </si>
  <si>
    <t>Simons 2016</t>
  </si>
  <si>
    <t>Deligianni, S. P., Quddus, M., Morris, A., Anvuur, A. &amp; Reed, S. Analyzing and Modeling Drivers’ Deceleration Behavior from Normal Driving. Transportation Research Record: Journal of the Transportation Research Board 2663, 134–141 (2017).</t>
  </si>
  <si>
    <t>Guillaume Saint Pierre &amp; Lara Désiré. Driver’s deceleration behaviour according to infrastructure. https://hal.science/hal-04032469 (2022).</t>
  </si>
  <si>
    <t>Stańczyk, T. L., Prochowski, L., Cegłowski, D., Szumska, E. M. &amp; Ziubiński, M. Assessment of Driver Performance and Energy Efficiency in Transportation Tasks when Vehicle Weight Undergoes Significant Changes. Energies (Basel) 16, 5626 (2023).</t>
  </si>
  <si>
    <t>Stanczyk 2023</t>
  </si>
  <si>
    <t>Riggins, G., Bertini, R., Ackaah, W. &amp; Margreiter, M. Evaluation of Driver Compliance to Displayed Variable Advisory Speed Limit Systems: Comparison between Germany and the U.S. Transportation Research Procedia 15, 640–651 (2016).</t>
  </si>
  <si>
    <t>Riggins 2016</t>
  </si>
  <si>
    <t>SANEF. Résultats de l’Observatoire de SANEF Des Comportements Sur Autoroute. (2023).</t>
  </si>
  <si>
    <t>Karrouchi 2023</t>
  </si>
  <si>
    <t>Francesco Del Pero. Tool for the Environmental Assessment in the Automotive Context: Analysis of the Use Stage for Different Typologies of LCA Study. (2015).</t>
  </si>
  <si>
    <t>Karrouchi, M. et al. Driving behavior assessment: A practical study and technique for detecting a driver’s condition and driving style. Transportation Engineering 14, 100217 (2023).</t>
  </si>
  <si>
    <t>Yin, Y., Wen, H., Sun, L. &amp; Hou, W. The influence of road geometry on vehicle rollover and skidding. Int J Environ Res Public Health 17, (2020).</t>
  </si>
  <si>
    <t>Moawad, A., Kim, N., Shidore, N. &amp; Rousseau, A. Assessment of Vehicle Sizing, Energy Consumption, and Cost through Large-Scale Simulation of Advanced Vehicle Technologies. http://www.osti.gov/scitech/ (2016).</t>
  </si>
  <si>
    <t>Simons, A. Road transport: new life cycle inventories for fossil-fuelled passenger cars and non-exhaust emissions in ecoinvent v3. International Journal of Life Cycle Assessment 21, 1299–1313 (2016).</t>
  </si>
  <si>
    <t>Observatoire National Interministériel de la Sécurité Routière Française. Observatoire Des Vitesses, Résultats de l’année 2018. (2018).</t>
  </si>
  <si>
    <t>EPA - National Vehicle and Fuel Emissions Laboratory, N. C. for A. Technology. ALPHA Map Package. (2023).</t>
  </si>
  <si>
    <t>Pre-set configuration Battery</t>
  </si>
  <si>
    <t>Pre-set configurations Car Body</t>
  </si>
  <si>
    <t>Review Size</t>
  </si>
  <si>
    <t>Review Start and Stop</t>
  </si>
  <si>
    <t>Review cold start</t>
  </si>
  <si>
    <t>Average_EU</t>
  </si>
  <si>
    <t>Average_US</t>
  </si>
  <si>
    <t>Small_EU</t>
  </si>
  <si>
    <t>Small_US</t>
  </si>
  <si>
    <t>Large_EU</t>
  </si>
  <si>
    <t>Large_US</t>
  </si>
  <si>
    <t>ni</t>
  </si>
  <si>
    <t>D [L]</t>
  </si>
  <si>
    <t>General Literature Review</t>
  </si>
  <si>
    <t>Data Acquisition and Preparation</t>
  </si>
  <si>
    <t>Results</t>
  </si>
  <si>
    <t>Pre-set configurations for Gasoline Engine</t>
  </si>
  <si>
    <t>RESULTS</t>
  </si>
  <si>
    <t>BIBLIOGRAPHY</t>
  </si>
  <si>
    <t>Data Acquisition</t>
  </si>
  <si>
    <t>Extra small</t>
  </si>
  <si>
    <t>Extra Large</t>
  </si>
  <si>
    <t>Review - Size Engine</t>
  </si>
  <si>
    <t>Pre-set configurations for Electric Engine</t>
  </si>
  <si>
    <t>EPA Engine Characterization (see SI 3A)</t>
  </si>
  <si>
    <t>EPA Engine Parameters Determination (see SI-3A)</t>
  </si>
  <si>
    <t>Pre-set configurations - Driver behavior</t>
  </si>
  <si>
    <t>Notebook SI3A</t>
  </si>
  <si>
    <t>From Da Silva 2017</t>
  </si>
  <si>
    <t>Results with model</t>
  </si>
  <si>
    <t>EU_mix</t>
  </si>
  <si>
    <t>US_mix</t>
  </si>
  <si>
    <t>JP_mix</t>
  </si>
  <si>
    <t>City - Mean</t>
  </si>
  <si>
    <t>City – Dense</t>
  </si>
  <si>
    <t>Hwy US</t>
  </si>
  <si>
    <t>Hwy EU</t>
  </si>
  <si>
    <t>rate_acc</t>
  </si>
  <si>
    <t>Share urban</t>
  </si>
  <si>
    <t>Pre-set configurations - Path</t>
  </si>
  <si>
    <t xml:space="preserve">Review Environmental Parameters </t>
  </si>
  <si>
    <t>Parameters</t>
  </si>
  <si>
    <t>Values</t>
  </si>
  <si>
    <t>W [m/s]</t>
  </si>
  <si>
    <t>H []</t>
  </si>
  <si>
    <t>w [m/s]</t>
  </si>
  <si>
    <t>dist [m]</t>
  </si>
  <si>
    <t>t_idle [s/m]</t>
  </si>
  <si>
    <t>J0 [s/m]</t>
  </si>
  <si>
    <t>J3 [m2/s2]</t>
  </si>
  <si>
    <t>K1 [m/s2]</t>
  </si>
  <si>
    <t>K2 [m2/s3]</t>
  </si>
  <si>
    <t>R [ohm]</t>
  </si>
  <si>
    <t>U [V]</t>
  </si>
  <si>
    <t>M_bat [kg]</t>
  </si>
  <si>
    <t>n_charg []</t>
  </si>
  <si>
    <t>n_i []</t>
  </si>
  <si>
    <t>Pacc_heat [W]</t>
  </si>
  <si>
    <t>stop_start []</t>
  </si>
  <si>
    <t>Pre-set configurations : Power Accessories [W]</t>
  </si>
  <si>
    <t>P_acc [W] (max instantaneous)</t>
  </si>
  <si>
    <t>P_acc [W] (average)</t>
  </si>
  <si>
    <t>Transmission</t>
  </si>
  <si>
    <t>Manual - FWD</t>
  </si>
  <si>
    <t>Auto - FWD</t>
  </si>
  <si>
    <t>Manual - RWD</t>
  </si>
  <si>
    <t>Auto - RWD</t>
  </si>
  <si>
    <t>Manual - AWD</t>
  </si>
  <si>
    <t>Auto - AWD</t>
  </si>
  <si>
    <t>Auto - FWD - Old</t>
  </si>
  <si>
    <t>Auto - AWD - Old</t>
  </si>
  <si>
    <t>Manual - FWD - Old</t>
  </si>
  <si>
    <t>N_idle [rpm]</t>
  </si>
  <si>
    <t>S [J/m]</t>
  </si>
  <si>
    <t>a_tr [s]</t>
  </si>
  <si>
    <t>ntr []</t>
  </si>
  <si>
    <t>alpha [J]</t>
  </si>
  <si>
    <t>Tmax [N.m]</t>
  </si>
  <si>
    <t>Tran et al. 2023</t>
  </si>
  <si>
    <t>Tran, T. B. et al. Wind Sensitivity of Electric Vehicle Energy Consumption and Influence on Range Prediction and Optimal Vehicle Routes. in 2023 IEEE International Conference on Mobility, Operations, Services and Technologies (MOST) 112–123 (IEEE, 2023). doi:10.1109/MOST57249.2023.00020.</t>
  </si>
  <si>
    <t>Compact</t>
  </si>
  <si>
    <t>Lower Med.</t>
  </si>
  <si>
    <t>Upper Med.</t>
  </si>
  <si>
    <t>pick-ups</t>
  </si>
  <si>
    <t>Additional path for Ecoinvent Comparison</t>
  </si>
  <si>
    <t>Small_min</t>
  </si>
  <si>
    <t>Small_max</t>
  </si>
  <si>
    <t>Medium_min</t>
  </si>
  <si>
    <t>Medium_max</t>
  </si>
  <si>
    <t>Large_min</t>
  </si>
  <si>
    <t>Large_max</t>
  </si>
  <si>
    <t>Additional Gasoline Engine for Ecoinvent comparison</t>
  </si>
  <si>
    <t>Dacia Spring</t>
  </si>
  <si>
    <t>File context</t>
  </si>
  <si>
    <t>File objective</t>
  </si>
  <si>
    <t>Authors</t>
  </si>
  <si>
    <t>Gabriel Magnaval, Anne-Marie Boulay</t>
  </si>
  <si>
    <t>Contact</t>
  </si>
  <si>
    <t>For any question ask Gabriel Magnaval gabriel.magnaval@hevs.ch</t>
  </si>
  <si>
    <t>These data sheets are the supplementary information SI2 for the article 'Development of an Analytical Model of Automobile Energy Consumption During Use-Phase for Parametrized Life Cycle Assessment'.</t>
  </si>
  <si>
    <t>Each table is dedicated to a specific contributor of the study. It contains the data acquisition and preparation - including the references, and the pre-set configurations obtained that have been integrated to PETRAUL</t>
  </si>
  <si>
    <t>The eight contributor under study are the car body, the accessories, the gasoline engine, the electric engine, the battery, the drivetrain, the path and the driver.</t>
  </si>
  <si>
    <t xml:space="preserve"> Gear Losses (Transmission)</t>
  </si>
  <si>
    <t>Axle Losses (Driveline)</t>
  </si>
  <si>
    <t>Architecture Type Distribution</t>
  </si>
  <si>
    <t>Pre-set configurations - Drivetrain Gasoline</t>
  </si>
  <si>
    <t>Pre-set configurations - Drivetrain EV (only axle losses)</t>
  </si>
  <si>
    <t>see transmission_calculation. With RWD Chrysler from EPA, we also demonstrated that 'a' remain constant for RWD and FWD but n_tr is multiplied by 0.92</t>
  </si>
  <si>
    <t>manifold intake : 55-70kPa --&gt; estim bmepWOT = 1000 kPa</t>
  </si>
  <si>
    <t>From Driving Cycle Analysis (see SI3. Cycles)</t>
  </si>
  <si>
    <t>The aim of this file is to gather and explain how the pre-set configurations have been produced from literature.</t>
  </si>
  <si>
    <t>m [-]</t>
  </si>
  <si>
    <t>q [-]</t>
  </si>
  <si>
    <r>
      <t>φ</t>
    </r>
    <r>
      <rPr>
        <vertAlign val="subscript"/>
        <sz val="12"/>
        <color theme="1"/>
        <rFont val="Calibri (Corps)"/>
      </rPr>
      <t>FA</t>
    </r>
    <r>
      <rPr>
        <sz val="12"/>
        <color theme="1"/>
        <rFont val="Calibri"/>
        <family val="2"/>
        <scheme val="minor"/>
      </rPr>
      <t xml:space="preserve"> [-]</t>
    </r>
  </si>
  <si>
    <t>compression [-]</t>
  </si>
  <si>
    <t>epsilon [s/kg]</t>
  </si>
  <si>
    <t>Suburban</t>
  </si>
  <si>
    <t>Countryside</t>
  </si>
  <si>
    <t>NB: Axle losses of BEV are already accounted in electric engine maps from EPA. Thus, for electric vehicle, only supplementary a_diff losses of AWD transmission are included in the drivetrain 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</si>
</sst>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E+00"/>
    <numFmt numFmtId="167" formatCode="0.0000"/>
  </numFmts>
  <fonts count="9" x14ac:knownFonts="1">
    <font>
      <sz val="12"/>
      <color theme="1"/>
      <name val="Calibri"/>
      <family val="2"/>
      <scheme val="minor"/>
    </font>
    <font>
      <sz val="12"/>
      <color theme="1"/>
      <name val="Calibri"/>
      <family val="2"/>
      <scheme val="minor"/>
    </font>
    <font>
      <u/>
      <sz val="12"/>
      <color theme="10"/>
      <name val="Calibri"/>
      <family val="2"/>
      <scheme val="minor"/>
    </font>
    <font>
      <sz val="12"/>
      <color rgb="FF000000"/>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vertAlign val="subscript"/>
      <sz val="12"/>
      <color theme="1"/>
      <name val="Calibri (Corps)"/>
    </font>
    <font>
      <b/>
      <sz val="11"/>
      <color rgb="FFFFFFFF"/>
      <name val="Calibri"/>
      <family val="2"/>
      <scheme val="minor"/>
    </font>
  </fonts>
  <fills count="21">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7"/>
        <bgColor indexed="64"/>
      </patternFill>
    </fill>
    <fill>
      <patternFill patternType="solid">
        <fgColor theme="5"/>
        <bgColor indexed="64"/>
      </patternFill>
    </fill>
    <fill>
      <patternFill patternType="solid">
        <fgColor theme="4" tint="0.39997558519241921"/>
        <bgColor indexed="64"/>
      </patternFill>
    </fill>
    <fill>
      <patternFill patternType="solid">
        <fgColor theme="9"/>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bgColor rgb="FF000000"/>
      </patternFill>
    </fill>
    <fill>
      <patternFill patternType="solid">
        <fgColor rgb="FFFFFF00"/>
        <bgColor indexed="64"/>
      </patternFill>
    </fill>
    <fill>
      <patternFill patternType="solid">
        <fgColor rgb="FFED7D31"/>
        <bgColor rgb="FF000000"/>
      </patternFill>
    </fill>
    <fill>
      <patternFill patternType="solid">
        <fgColor theme="5"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rgb="FFCCCCCC"/>
      </left>
      <right style="medium">
        <color rgb="FFCCCCCC"/>
      </right>
      <top style="medium">
        <color rgb="FFCCCCCC"/>
      </top>
      <bottom style="medium">
        <color rgb="FFCCCCCC"/>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64">
    <xf numFmtId="0" fontId="0" fillId="0" borderId="0" xfId="0"/>
    <xf numFmtId="0" fontId="0" fillId="0" borderId="1" xfId="0" applyBorder="1"/>
    <xf numFmtId="9" fontId="0" fillId="0" borderId="1" xfId="1" applyFont="1" applyBorder="1"/>
    <xf numFmtId="0" fontId="0" fillId="3" borderId="1" xfId="0" applyFill="1" applyBorder="1"/>
    <xf numFmtId="0" fontId="0" fillId="4" borderId="1" xfId="0" applyFill="1" applyBorder="1"/>
    <xf numFmtId="0" fontId="0" fillId="6" borderId="1" xfId="0" applyFill="1" applyBorder="1"/>
    <xf numFmtId="0" fontId="0" fillId="2" borderId="1" xfId="0" applyFill="1" applyBorder="1"/>
    <xf numFmtId="0" fontId="0" fillId="7" borderId="1" xfId="0" applyFill="1" applyBorder="1"/>
    <xf numFmtId="0" fontId="0" fillId="8" borderId="1" xfId="0" applyFill="1" applyBorder="1"/>
    <xf numFmtId="0" fontId="0" fillId="5" borderId="1" xfId="0" applyFill="1" applyBorder="1"/>
    <xf numFmtId="0" fontId="0" fillId="9" borderId="1" xfId="0" applyFill="1" applyBorder="1"/>
    <xf numFmtId="0" fontId="0" fillId="10" borderId="1" xfId="0" applyFill="1" applyBorder="1"/>
    <xf numFmtId="0" fontId="2" fillId="0" borderId="0" xfId="2"/>
    <xf numFmtId="0" fontId="0" fillId="0" borderId="1" xfId="0" applyBorder="1" applyAlignment="1">
      <alignment horizontal="center"/>
    </xf>
    <xf numFmtId="0" fontId="0" fillId="0" borderId="1" xfId="0" applyBorder="1" applyAlignment="1">
      <alignment horizontal="center" vertical="center"/>
    </xf>
    <xf numFmtId="0" fontId="0" fillId="11" borderId="1" xfId="0" applyFill="1" applyBorder="1" applyAlignment="1">
      <alignment horizontal="center" vertical="center"/>
    </xf>
    <xf numFmtId="0" fontId="0" fillId="11" borderId="1" xfId="0" applyFill="1" applyBorder="1"/>
    <xf numFmtId="0" fontId="0" fillId="11" borderId="1" xfId="0" applyFill="1" applyBorder="1" applyAlignment="1">
      <alignment horizontal="center"/>
    </xf>
    <xf numFmtId="0" fontId="0" fillId="4" borderId="2" xfId="0" applyFill="1" applyBorder="1" applyAlignment="1">
      <alignment horizontal="center"/>
    </xf>
    <xf numFmtId="0" fontId="0" fillId="4" borderId="4" xfId="0" applyFill="1" applyBorder="1" applyAlignment="1">
      <alignment horizontal="center"/>
    </xf>
    <xf numFmtId="0" fontId="0" fillId="4" borderId="3" xfId="0" applyFill="1" applyBorder="1" applyAlignment="1">
      <alignment horizontal="center"/>
    </xf>
    <xf numFmtId="0" fontId="0" fillId="12" borderId="1" xfId="0" applyFill="1" applyBorder="1"/>
    <xf numFmtId="0" fontId="0" fillId="13" borderId="1" xfId="0" applyFill="1" applyBorder="1"/>
    <xf numFmtId="0" fontId="0" fillId="14" borderId="1" xfId="0" applyFill="1" applyBorder="1"/>
    <xf numFmtId="0" fontId="0" fillId="8" borderId="1" xfId="0" applyFill="1" applyBorder="1" applyAlignment="1">
      <alignment horizontal="center"/>
    </xf>
    <xf numFmtId="0" fontId="0" fillId="16" borderId="1" xfId="0" applyFill="1" applyBorder="1"/>
    <xf numFmtId="0" fontId="0" fillId="15" borderId="1" xfId="0" applyFill="1" applyBorder="1" applyAlignment="1">
      <alignment horizontal="center"/>
    </xf>
    <xf numFmtId="0" fontId="0" fillId="6" borderId="5" xfId="0" applyFill="1" applyBorder="1" applyAlignment="1">
      <alignment horizontal="center"/>
    </xf>
    <xf numFmtId="0" fontId="0" fillId="6" borderId="6"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3" fillId="0" borderId="0" xfId="0" applyFont="1"/>
    <xf numFmtId="0" fontId="0" fillId="0" borderId="7" xfId="0" applyBorder="1"/>
    <xf numFmtId="2" fontId="0" fillId="0" borderId="1" xfId="0" applyNumberFormat="1" applyBorder="1"/>
    <xf numFmtId="1" fontId="0" fillId="0" borderId="1" xfId="0" applyNumberFormat="1" applyBorder="1"/>
    <xf numFmtId="164" fontId="0" fillId="0" borderId="1" xfId="0" applyNumberFormat="1" applyBorder="1"/>
    <xf numFmtId="165" fontId="0" fillId="0" borderId="1" xfId="0" applyNumberFormat="1" applyBorder="1"/>
    <xf numFmtId="0" fontId="0" fillId="0" borderId="1" xfId="0" applyBorder="1" applyAlignment="1">
      <alignment vertical="center" wrapText="1"/>
    </xf>
    <xf numFmtId="0" fontId="0" fillId="3" borderId="7" xfId="0" applyFill="1" applyBorder="1"/>
    <xf numFmtId="9" fontId="0" fillId="0" borderId="7" xfId="1" applyFont="1" applyBorder="1"/>
    <xf numFmtId="9" fontId="0" fillId="0" borderId="1" xfId="0" applyNumberFormat="1" applyBorder="1"/>
    <xf numFmtId="0" fontId="4" fillId="0" borderId="1" xfId="0" applyFont="1" applyBorder="1" applyAlignment="1">
      <alignment horizontal="center" vertical="top"/>
    </xf>
    <xf numFmtId="0" fontId="4" fillId="14" borderId="1" xfId="0" applyFont="1" applyFill="1" applyBorder="1" applyAlignment="1">
      <alignment horizontal="center" vertical="top"/>
    </xf>
    <xf numFmtId="1" fontId="0" fillId="14" borderId="1" xfId="0" applyNumberFormat="1" applyFill="1" applyBorder="1"/>
    <xf numFmtId="2" fontId="0" fillId="14" borderId="1" xfId="0" applyNumberFormat="1" applyFill="1" applyBorder="1"/>
    <xf numFmtId="165" fontId="0" fillId="14" borderId="1" xfId="0" applyNumberFormat="1" applyFill="1" applyBorder="1"/>
    <xf numFmtId="0" fontId="4" fillId="0" borderId="7" xfId="0" applyFont="1" applyBorder="1" applyAlignment="1">
      <alignment horizontal="center" vertical="top"/>
    </xf>
    <xf numFmtId="0" fontId="5" fillId="0" borderId="0" xfId="0" applyFont="1"/>
    <xf numFmtId="0" fontId="6" fillId="0" borderId="1" xfId="0" applyFont="1" applyBorder="1" applyAlignment="1">
      <alignment horizontal="center" vertical="top"/>
    </xf>
    <xf numFmtId="0" fontId="5" fillId="0" borderId="8" xfId="0" applyFont="1" applyBorder="1"/>
    <xf numFmtId="0" fontId="6" fillId="0" borderId="7" xfId="0" applyFont="1" applyBorder="1" applyAlignment="1">
      <alignment horizontal="center" vertical="top"/>
    </xf>
    <xf numFmtId="0" fontId="6" fillId="17" borderId="7" xfId="0" applyFont="1" applyFill="1" applyBorder="1" applyAlignment="1">
      <alignment horizontal="center" vertical="top"/>
    </xf>
    <xf numFmtId="1" fontId="5" fillId="17" borderId="8" xfId="0" applyNumberFormat="1" applyFont="1" applyFill="1" applyBorder="1"/>
    <xf numFmtId="2" fontId="5" fillId="17" borderId="8" xfId="0" applyNumberFormat="1" applyFont="1" applyFill="1" applyBorder="1"/>
    <xf numFmtId="165" fontId="5" fillId="17" borderId="8" xfId="0" applyNumberFormat="1" applyFont="1" applyFill="1" applyBorder="1"/>
    <xf numFmtId="0" fontId="6" fillId="0" borderId="8" xfId="0" applyFont="1" applyBorder="1" applyAlignment="1">
      <alignment horizontal="center" vertical="top"/>
    </xf>
    <xf numFmtId="0" fontId="0" fillId="0" borderId="0" xfId="0" applyAlignment="1">
      <alignment horizontal="center"/>
    </xf>
    <xf numFmtId="11" fontId="0" fillId="0" borderId="1" xfId="0" applyNumberFormat="1" applyBorder="1"/>
    <xf numFmtId="11" fontId="0" fillId="14" borderId="1" xfId="0" applyNumberFormat="1" applyFill="1" applyBorder="1"/>
    <xf numFmtId="1" fontId="0" fillId="3" borderId="7" xfId="0" applyNumberFormat="1" applyFill="1" applyBorder="1"/>
    <xf numFmtId="165" fontId="0" fillId="3" borderId="1" xfId="0" applyNumberFormat="1" applyFill="1" applyBorder="1"/>
    <xf numFmtId="2" fontId="0" fillId="3" borderId="1" xfId="0" applyNumberFormat="1" applyFill="1" applyBorder="1"/>
    <xf numFmtId="164" fontId="0" fillId="3" borderId="1" xfId="0" applyNumberFormat="1" applyFill="1" applyBorder="1"/>
    <xf numFmtId="1" fontId="0" fillId="4" borderId="7" xfId="0" applyNumberFormat="1" applyFill="1" applyBorder="1"/>
    <xf numFmtId="165" fontId="0" fillId="4" borderId="1" xfId="0" applyNumberFormat="1" applyFill="1" applyBorder="1"/>
    <xf numFmtId="2" fontId="0" fillId="4" borderId="1" xfId="0" applyNumberFormat="1" applyFill="1" applyBorder="1"/>
    <xf numFmtId="164" fontId="0" fillId="4" borderId="1" xfId="0" applyNumberFormat="1" applyFill="1" applyBorder="1"/>
    <xf numFmtId="1" fontId="0" fillId="6" borderId="7" xfId="0" applyNumberFormat="1" applyFill="1" applyBorder="1"/>
    <xf numFmtId="165" fontId="0" fillId="6" borderId="1" xfId="0" applyNumberFormat="1" applyFill="1" applyBorder="1"/>
    <xf numFmtId="2" fontId="0" fillId="6" borderId="1" xfId="0" applyNumberFormat="1" applyFill="1" applyBorder="1"/>
    <xf numFmtId="164" fontId="0" fillId="6" borderId="1" xfId="0" applyNumberFormat="1" applyFill="1" applyBorder="1"/>
    <xf numFmtId="1" fontId="0" fillId="2" borderId="7" xfId="0" applyNumberFormat="1" applyFill="1" applyBorder="1"/>
    <xf numFmtId="165" fontId="0" fillId="2" borderId="1" xfId="0" applyNumberFormat="1" applyFill="1" applyBorder="1"/>
    <xf numFmtId="2" fontId="0" fillId="2" borderId="1" xfId="0" applyNumberFormat="1" applyFill="1" applyBorder="1"/>
    <xf numFmtId="164" fontId="0" fillId="2" borderId="1" xfId="0" applyNumberFormat="1" applyFill="1" applyBorder="1"/>
    <xf numFmtId="1" fontId="0" fillId="5" borderId="7" xfId="0" applyNumberFormat="1" applyFill="1" applyBorder="1"/>
    <xf numFmtId="165" fontId="0" fillId="5" borderId="1" xfId="0" applyNumberFormat="1" applyFill="1" applyBorder="1"/>
    <xf numFmtId="2" fontId="0" fillId="5" borderId="1" xfId="0" applyNumberFormat="1" applyFill="1" applyBorder="1"/>
    <xf numFmtId="164" fontId="0" fillId="5" borderId="1" xfId="0" applyNumberFormat="1" applyFill="1" applyBorder="1"/>
    <xf numFmtId="1" fontId="0" fillId="8" borderId="7" xfId="0" applyNumberFormat="1" applyFill="1" applyBorder="1"/>
    <xf numFmtId="165" fontId="0" fillId="8" borderId="1" xfId="0" applyNumberFormat="1" applyFill="1" applyBorder="1"/>
    <xf numFmtId="2" fontId="0" fillId="8" borderId="1" xfId="0" applyNumberFormat="1" applyFill="1" applyBorder="1"/>
    <xf numFmtId="164" fontId="0" fillId="8" borderId="1" xfId="0" applyNumberFormat="1" applyFill="1" applyBorder="1"/>
    <xf numFmtId="10" fontId="0" fillId="0" borderId="1" xfId="0" applyNumberFormat="1" applyBorder="1"/>
    <xf numFmtId="0" fontId="3" fillId="0" borderId="1" xfId="0" applyFont="1" applyBorder="1"/>
    <xf numFmtId="164" fontId="0" fillId="0" borderId="0" xfId="0" applyNumberFormat="1"/>
    <xf numFmtId="165" fontId="0" fillId="0" borderId="0" xfId="0" applyNumberFormat="1"/>
    <xf numFmtId="2" fontId="0" fillId="0" borderId="0" xfId="0" applyNumberFormat="1"/>
    <xf numFmtId="1" fontId="0" fillId="0" borderId="0" xfId="0" applyNumberFormat="1"/>
    <xf numFmtId="0" fontId="0" fillId="0" borderId="10" xfId="0" applyBorder="1"/>
    <xf numFmtId="11" fontId="0" fillId="0" borderId="0" xfId="0" applyNumberFormat="1"/>
    <xf numFmtId="0" fontId="2" fillId="0" borderId="0" xfId="2" applyFill="1"/>
    <xf numFmtId="0" fontId="2" fillId="0" borderId="1" xfId="2" applyFill="1" applyBorder="1"/>
    <xf numFmtId="0" fontId="0" fillId="0" borderId="2" xfId="0" applyBorder="1"/>
    <xf numFmtId="164" fontId="0" fillId="0" borderId="2" xfId="0" applyNumberFormat="1" applyBorder="1"/>
    <xf numFmtId="164" fontId="0" fillId="11" borderId="2" xfId="0" applyNumberFormat="1" applyFill="1" applyBorder="1"/>
    <xf numFmtId="164" fontId="0" fillId="18" borderId="1" xfId="0" applyNumberFormat="1" applyFill="1" applyBorder="1"/>
    <xf numFmtId="0" fontId="0" fillId="18" borderId="1" xfId="0" applyFill="1" applyBorder="1"/>
    <xf numFmtId="166" fontId="0" fillId="0" borderId="1" xfId="0" applyNumberFormat="1" applyBorder="1"/>
    <xf numFmtId="9" fontId="0" fillId="14" borderId="1" xfId="0" applyNumberFormat="1" applyFill="1" applyBorder="1"/>
    <xf numFmtId="9" fontId="0" fillId="2" borderId="1" xfId="0" applyNumberFormat="1" applyFill="1" applyBorder="1"/>
    <xf numFmtId="0" fontId="0" fillId="0" borderId="1" xfId="0" applyBorder="1" applyAlignment="1">
      <alignment vertical="center"/>
    </xf>
    <xf numFmtId="0" fontId="0" fillId="0" borderId="1" xfId="0" quotePrefix="1" applyBorder="1"/>
    <xf numFmtId="0" fontId="0" fillId="0" borderId="3" xfId="0" applyBorder="1"/>
    <xf numFmtId="0" fontId="0" fillId="0" borderId="0" xfId="0" applyAlignment="1">
      <alignment horizontal="center" vertical="center"/>
    </xf>
    <xf numFmtId="0" fontId="0" fillId="0" borderId="1" xfId="0" applyBorder="1" applyAlignment="1">
      <alignment wrapText="1"/>
    </xf>
    <xf numFmtId="0" fontId="0" fillId="0" borderId="6" xfId="0" applyBorder="1"/>
    <xf numFmtId="0" fontId="0" fillId="0" borderId="1" xfId="0" applyBorder="1" applyAlignment="1">
      <alignment horizontal="left" vertical="center"/>
    </xf>
    <xf numFmtId="0" fontId="0" fillId="0" borderId="1" xfId="0" applyBorder="1" applyAlignment="1">
      <alignment horizontal="left"/>
    </xf>
    <xf numFmtId="0" fontId="0" fillId="2" borderId="1" xfId="0" applyFill="1" applyBorder="1" applyAlignment="1">
      <alignment horizontal="center" vertical="center"/>
    </xf>
    <xf numFmtId="1" fontId="0" fillId="2" borderId="1" xfId="0" applyNumberFormat="1" applyFill="1" applyBorder="1"/>
    <xf numFmtId="11" fontId="0" fillId="2" borderId="1" xfId="0" applyNumberFormat="1" applyFill="1" applyBorder="1"/>
    <xf numFmtId="0" fontId="0" fillId="0" borderId="8" xfId="0" applyBorder="1"/>
    <xf numFmtId="9" fontId="0" fillId="0" borderId="0" xfId="0" applyNumberFormat="1"/>
    <xf numFmtId="0" fontId="4" fillId="0" borderId="0" xfId="0" applyFont="1" applyAlignment="1">
      <alignment horizontal="center" vertical="top"/>
    </xf>
    <xf numFmtId="0" fontId="0" fillId="0" borderId="0" xfId="0" applyAlignment="1">
      <alignment horizontal="left" vertical="top" wrapText="1"/>
    </xf>
    <xf numFmtId="0" fontId="0" fillId="0" borderId="0" xfId="0" applyAlignment="1">
      <alignment vertical="center" wrapText="1"/>
    </xf>
    <xf numFmtId="0" fontId="0" fillId="0" borderId="1" xfId="0" applyBorder="1" applyAlignment="1">
      <alignment horizontal="center" vertical="top"/>
    </xf>
    <xf numFmtId="167" fontId="0" fillId="0" borderId="1" xfId="0" applyNumberFormat="1" applyBorder="1"/>
    <xf numFmtId="0" fontId="0" fillId="18" borderId="0" xfId="0" applyFill="1"/>
    <xf numFmtId="0" fontId="0" fillId="0" borderId="12" xfId="0" applyBorder="1" applyAlignment="1">
      <alignment vertical="center"/>
    </xf>
    <xf numFmtId="0" fontId="0" fillId="0" borderId="12" xfId="0" applyBorder="1" applyAlignment="1">
      <alignment wrapText="1"/>
    </xf>
    <xf numFmtId="0" fontId="0" fillId="0" borderId="12" xfId="0" applyBorder="1"/>
    <xf numFmtId="0" fontId="8" fillId="20" borderId="12" xfId="0" applyFont="1" applyFill="1" applyBorder="1" applyAlignment="1">
      <alignment vertical="center"/>
    </xf>
    <xf numFmtId="0" fontId="0" fillId="20" borderId="12" xfId="0" applyFill="1" applyBorder="1" applyAlignment="1">
      <alignment wrapText="1"/>
    </xf>
    <xf numFmtId="0" fontId="8" fillId="20" borderId="12" xfId="0" applyFont="1" applyFill="1" applyBorder="1" applyAlignment="1">
      <alignment wrapText="1"/>
    </xf>
    <xf numFmtId="0" fontId="0" fillId="11" borderId="0" xfId="0" applyFill="1"/>
    <xf numFmtId="0" fontId="0" fillId="12" borderId="1" xfId="0" applyFill="1" applyBorder="1" applyAlignment="1">
      <alignment horizontal="center"/>
    </xf>
    <xf numFmtId="0" fontId="0" fillId="12" borderId="2" xfId="0" applyFill="1" applyBorder="1" applyAlignment="1">
      <alignment horizontal="center"/>
    </xf>
    <xf numFmtId="0" fontId="0" fillId="12" borderId="4" xfId="0" applyFill="1" applyBorder="1" applyAlignment="1">
      <alignment horizontal="center"/>
    </xf>
    <xf numFmtId="0" fontId="0" fillId="12" borderId="3" xfId="0" applyFill="1" applyBorder="1" applyAlignment="1">
      <alignment horizontal="center"/>
    </xf>
    <xf numFmtId="0" fontId="0" fillId="8" borderId="1" xfId="0" applyFill="1" applyBorder="1" applyAlignment="1">
      <alignment horizontal="center"/>
    </xf>
    <xf numFmtId="0" fontId="0" fillId="3" borderId="2" xfId="0" applyFill="1" applyBorder="1" applyAlignment="1">
      <alignment horizontal="center"/>
    </xf>
    <xf numFmtId="0" fontId="0" fillId="3" borderId="4" xfId="0" applyFill="1" applyBorder="1" applyAlignment="1">
      <alignment horizontal="center"/>
    </xf>
    <xf numFmtId="0" fontId="0" fillId="3" borderId="3" xfId="0" applyFill="1" applyBorder="1" applyAlignment="1">
      <alignment horizontal="center"/>
    </xf>
    <xf numFmtId="0" fontId="0" fillId="4" borderId="2" xfId="0" applyFill="1" applyBorder="1" applyAlignment="1">
      <alignment horizontal="center"/>
    </xf>
    <xf numFmtId="0" fontId="0" fillId="4" borderId="4" xfId="0" applyFill="1" applyBorder="1" applyAlignment="1">
      <alignment horizontal="center"/>
    </xf>
    <xf numFmtId="0" fontId="0" fillId="4" borderId="3" xfId="0" applyFill="1" applyBorder="1" applyAlignment="1">
      <alignment horizontal="center"/>
    </xf>
    <xf numFmtId="0" fontId="0" fillId="4" borderId="1" xfId="0" applyFill="1" applyBorder="1" applyAlignment="1">
      <alignment horizontal="center"/>
    </xf>
    <xf numFmtId="0" fontId="0" fillId="6" borderId="1" xfId="0" applyFill="1" applyBorder="1" applyAlignment="1">
      <alignment horizontal="center"/>
    </xf>
    <xf numFmtId="0" fontId="0" fillId="2" borderId="1" xfId="0" applyFill="1" applyBorder="1" applyAlignment="1">
      <alignment horizontal="center"/>
    </xf>
    <xf numFmtId="0" fontId="0" fillId="15" borderId="1" xfId="0" applyFill="1" applyBorder="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left" vertical="top" wrapText="1"/>
    </xf>
    <xf numFmtId="0" fontId="0" fillId="0" borderId="9" xfId="0" applyBorder="1" applyAlignment="1">
      <alignment horizontal="center" vertical="center"/>
    </xf>
    <xf numFmtId="0" fontId="0" fillId="0" borderId="7" xfId="0" applyBorder="1" applyAlignment="1">
      <alignment horizontal="center" vertical="center"/>
    </xf>
    <xf numFmtId="0" fontId="3" fillId="19" borderId="2" xfId="0" applyFont="1" applyFill="1" applyBorder="1" applyAlignment="1">
      <alignment horizontal="center"/>
    </xf>
    <xf numFmtId="0" fontId="3" fillId="19" borderId="4" xfId="0" applyFont="1" applyFill="1" applyBorder="1" applyAlignment="1">
      <alignment horizontal="center"/>
    </xf>
    <xf numFmtId="0" fontId="3" fillId="19" borderId="3" xfId="0" applyFont="1" applyFill="1" applyBorder="1" applyAlignment="1">
      <alignment horizontal="center"/>
    </xf>
    <xf numFmtId="0" fontId="0" fillId="0" borderId="11" xfId="0" applyBorder="1" applyAlignment="1">
      <alignment horizontal="center" vertical="center" wrapText="1"/>
    </xf>
    <xf numFmtId="0" fontId="0" fillId="0" borderId="0" xfId="0" applyAlignment="1">
      <alignment horizontal="center" vertical="center" wrapText="1"/>
    </xf>
    <xf numFmtId="0" fontId="0" fillId="8" borderId="2" xfId="0" applyFill="1" applyBorder="1" applyAlignment="1">
      <alignment horizontal="center"/>
    </xf>
    <xf numFmtId="0" fontId="0" fillId="8" borderId="4" xfId="0" applyFill="1" applyBorder="1" applyAlignment="1">
      <alignment horizontal="center"/>
    </xf>
    <xf numFmtId="0" fontId="0" fillId="8" borderId="3" xfId="0" applyFill="1" applyBorder="1" applyAlignment="1">
      <alignment horizontal="center"/>
    </xf>
    <xf numFmtId="0" fontId="0" fillId="15" borderId="2" xfId="0" applyFill="1" applyBorder="1" applyAlignment="1">
      <alignment horizontal="center"/>
    </xf>
    <xf numFmtId="0" fontId="0" fillId="15" borderId="4" xfId="0" applyFill="1" applyBorder="1" applyAlignment="1">
      <alignment horizontal="center"/>
    </xf>
    <xf numFmtId="0" fontId="0" fillId="15" borderId="3" xfId="0" applyFill="1" applyBorder="1" applyAlignment="1">
      <alignment horizontal="center"/>
    </xf>
    <xf numFmtId="0" fontId="0" fillId="6" borderId="0" xfId="0" applyFill="1" applyAlignment="1">
      <alignment horizontal="center"/>
    </xf>
    <xf numFmtId="0" fontId="0" fillId="3" borderId="1" xfId="0" applyFill="1" applyBorder="1" applyAlignment="1">
      <alignment horizontal="center"/>
    </xf>
    <xf numFmtId="0" fontId="0" fillId="4" borderId="7" xfId="0" applyFill="1" applyBorder="1" applyAlignment="1">
      <alignment horizontal="center"/>
    </xf>
    <xf numFmtId="0" fontId="0" fillId="0" borderId="2" xfId="0" applyBorder="1" applyAlignment="1">
      <alignment horizontal="center"/>
    </xf>
    <xf numFmtId="0" fontId="0" fillId="0" borderId="3" xfId="0" applyBorder="1" applyAlignment="1">
      <alignment horizontal="center"/>
    </xf>
  </cellXfs>
  <cellStyles count="3">
    <cellStyle name="Lien hypertexte" xfId="2" builtinId="8"/>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54C2E-4D1C-B54D-A64A-C1A7195C854F}">
  <dimension ref="A1:K11"/>
  <sheetViews>
    <sheetView workbookViewId="0">
      <selection activeCell="B6" sqref="B6"/>
    </sheetView>
  </sheetViews>
  <sheetFormatPr baseColWidth="10" defaultRowHeight="16" x14ac:dyDescent="0.2"/>
  <cols>
    <col min="2" max="2" width="13.5" customWidth="1"/>
    <col min="3" max="3" width="68.33203125" customWidth="1"/>
  </cols>
  <sheetData>
    <row r="1" spans="1:11" ht="17" thickBot="1" x14ac:dyDescent="0.25"/>
    <row r="2" spans="1:11" ht="17" thickBot="1" x14ac:dyDescent="0.25">
      <c r="A2" s="123" t="s">
        <v>538</v>
      </c>
      <c r="B2" s="125"/>
      <c r="C2" s="125"/>
      <c r="D2" s="125"/>
      <c r="E2" s="125"/>
      <c r="F2" s="125"/>
      <c r="G2" s="125"/>
      <c r="H2" s="125"/>
      <c r="I2" s="125"/>
      <c r="J2" s="125"/>
      <c r="K2" s="125"/>
    </row>
    <row r="3" spans="1:11" ht="17" thickBot="1" x14ac:dyDescent="0.25">
      <c r="A3" s="124"/>
      <c r="B3" s="120" t="s">
        <v>544</v>
      </c>
      <c r="C3" s="121"/>
      <c r="D3" s="121"/>
      <c r="E3" s="121"/>
      <c r="F3" s="121"/>
      <c r="G3" s="121"/>
      <c r="H3" s="121"/>
      <c r="I3" s="121"/>
      <c r="J3" s="121"/>
      <c r="K3" s="121"/>
    </row>
    <row r="4" spans="1:11" ht="17" thickBot="1" x14ac:dyDescent="0.25">
      <c r="A4" s="123" t="s">
        <v>539</v>
      </c>
      <c r="B4" s="125"/>
      <c r="C4" s="125"/>
      <c r="D4" s="125"/>
      <c r="E4" s="125"/>
      <c r="F4" s="125"/>
      <c r="G4" s="125"/>
      <c r="H4" s="125"/>
      <c r="I4" s="125"/>
      <c r="J4" s="125"/>
      <c r="K4" s="125"/>
    </row>
    <row r="5" spans="1:11" ht="17" thickBot="1" x14ac:dyDescent="0.25">
      <c r="A5" s="124"/>
      <c r="B5" s="120" t="s">
        <v>555</v>
      </c>
      <c r="C5" s="121"/>
      <c r="D5" s="121"/>
      <c r="E5" s="121"/>
      <c r="F5" s="121"/>
      <c r="G5" s="121"/>
      <c r="H5" s="121"/>
      <c r="I5" s="121"/>
      <c r="J5" s="121"/>
      <c r="K5" s="121"/>
    </row>
    <row r="6" spans="1:11" ht="17" thickBot="1" x14ac:dyDescent="0.25">
      <c r="A6" s="124"/>
      <c r="B6" s="120" t="s">
        <v>545</v>
      </c>
      <c r="C6" s="121"/>
      <c r="D6" s="121"/>
      <c r="E6" s="121"/>
      <c r="F6" s="121"/>
      <c r="G6" s="121"/>
      <c r="H6" s="121"/>
      <c r="I6" s="121"/>
      <c r="J6" s="121"/>
      <c r="K6" s="121"/>
    </row>
    <row r="7" spans="1:11" ht="17" thickBot="1" x14ac:dyDescent="0.25">
      <c r="A7" s="124"/>
      <c r="B7" s="120" t="s">
        <v>546</v>
      </c>
      <c r="C7" s="122"/>
      <c r="D7" s="121"/>
      <c r="E7" s="121"/>
      <c r="F7" s="121"/>
      <c r="G7" s="121"/>
      <c r="H7" s="121"/>
      <c r="I7" s="121"/>
      <c r="J7" s="121"/>
      <c r="K7" s="121"/>
    </row>
    <row r="8" spans="1:11" ht="17" thickBot="1" x14ac:dyDescent="0.25">
      <c r="A8" s="123" t="s">
        <v>540</v>
      </c>
      <c r="B8" s="125"/>
      <c r="C8" s="125"/>
      <c r="D8" s="125"/>
      <c r="E8" s="125"/>
      <c r="F8" s="125"/>
      <c r="G8" s="125"/>
      <c r="H8" s="125"/>
      <c r="I8" s="125"/>
      <c r="J8" s="125"/>
      <c r="K8" s="125"/>
    </row>
    <row r="9" spans="1:11" ht="17" thickBot="1" x14ac:dyDescent="0.25">
      <c r="A9" s="124"/>
      <c r="B9" s="120" t="s">
        <v>541</v>
      </c>
      <c r="C9" s="121"/>
      <c r="D9" s="121"/>
      <c r="E9" s="121"/>
      <c r="F9" s="121"/>
      <c r="G9" s="121"/>
      <c r="H9" s="121"/>
      <c r="I9" s="121"/>
      <c r="J9" s="121"/>
      <c r="K9" s="121"/>
    </row>
    <row r="10" spans="1:11" ht="17" thickBot="1" x14ac:dyDescent="0.25">
      <c r="A10" s="123" t="s">
        <v>542</v>
      </c>
      <c r="B10" s="124"/>
      <c r="C10" s="124"/>
      <c r="D10" s="124"/>
      <c r="E10" s="124"/>
      <c r="F10" s="124"/>
      <c r="G10" s="124"/>
      <c r="H10" s="124"/>
      <c r="I10" s="124"/>
      <c r="J10" s="124"/>
      <c r="K10" s="124"/>
    </row>
    <row r="11" spans="1:11" ht="17" thickBot="1" x14ac:dyDescent="0.25">
      <c r="A11" s="124"/>
      <c r="B11" s="120" t="s">
        <v>543</v>
      </c>
      <c r="C11" s="121"/>
      <c r="D11" s="121"/>
      <c r="E11" s="121"/>
      <c r="F11" s="121"/>
      <c r="G11" s="121"/>
      <c r="H11" s="121"/>
      <c r="I11" s="121"/>
      <c r="J11" s="121"/>
      <c r="K11" s="121"/>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D163B-3730-C64D-BE47-9EC82A2747D1}">
  <dimension ref="A1:Q38"/>
  <sheetViews>
    <sheetView zoomScale="96" zoomScaleNormal="96" workbookViewId="0">
      <selection activeCell="C17" sqref="C17"/>
    </sheetView>
  </sheetViews>
  <sheetFormatPr baseColWidth="10" defaultRowHeight="16" x14ac:dyDescent="0.2"/>
  <cols>
    <col min="1" max="1" width="24.1640625" customWidth="1"/>
    <col min="3" max="3" width="20.1640625" customWidth="1"/>
    <col min="4" max="4" width="19.83203125" customWidth="1"/>
    <col min="5" max="5" width="25.83203125" customWidth="1"/>
    <col min="6" max="6" width="24.1640625" customWidth="1"/>
    <col min="7" max="7" width="18.83203125" customWidth="1"/>
    <col min="8" max="8" width="22" customWidth="1"/>
    <col min="9" max="9" width="24.1640625" customWidth="1"/>
  </cols>
  <sheetData>
    <row r="1" spans="1:17" x14ac:dyDescent="0.2">
      <c r="A1" s="127" t="s">
        <v>459</v>
      </c>
      <c r="B1" s="127"/>
      <c r="C1" s="127"/>
      <c r="D1" s="127"/>
      <c r="E1" s="127"/>
      <c r="F1" s="127"/>
      <c r="G1" s="127"/>
      <c r="H1" s="127"/>
      <c r="I1" s="127"/>
      <c r="J1" s="127"/>
      <c r="K1" s="127"/>
      <c r="L1" s="127"/>
      <c r="M1" s="127"/>
      <c r="N1" s="127"/>
      <c r="O1" s="127"/>
      <c r="P1" s="127"/>
      <c r="Q1" s="127"/>
    </row>
    <row r="3" spans="1:17" x14ac:dyDescent="0.2">
      <c r="C3" s="138" t="s">
        <v>70</v>
      </c>
      <c r="D3" s="138"/>
      <c r="E3" s="138"/>
      <c r="F3" s="138"/>
      <c r="G3" s="138"/>
      <c r="H3" s="138"/>
      <c r="I3" s="138"/>
    </row>
    <row r="4" spans="1:17" x14ac:dyDescent="0.2">
      <c r="C4" s="14"/>
      <c r="D4" s="14" t="s">
        <v>65</v>
      </c>
      <c r="E4" s="14" t="s">
        <v>66</v>
      </c>
      <c r="F4" s="14" t="s">
        <v>67</v>
      </c>
      <c r="G4" s="14" t="s">
        <v>68</v>
      </c>
      <c r="H4" s="14" t="s">
        <v>69</v>
      </c>
      <c r="I4" s="15" t="s">
        <v>72</v>
      </c>
    </row>
    <row r="5" spans="1:17" x14ac:dyDescent="0.2">
      <c r="C5" s="14" t="s">
        <v>62</v>
      </c>
      <c r="D5" s="14">
        <v>1.32</v>
      </c>
      <c r="E5" s="14">
        <v>0.67</v>
      </c>
      <c r="F5" s="14" t="s">
        <v>379</v>
      </c>
      <c r="G5" s="14">
        <v>0.55000000000000004</v>
      </c>
      <c r="H5" s="14">
        <v>0.62</v>
      </c>
      <c r="I5" s="16" t="s">
        <v>73</v>
      </c>
    </row>
    <row r="6" spans="1:17" x14ac:dyDescent="0.2">
      <c r="C6" s="14" t="s">
        <v>58</v>
      </c>
      <c r="D6" s="14" t="s">
        <v>63</v>
      </c>
      <c r="E6" s="14" t="s">
        <v>63</v>
      </c>
      <c r="F6" s="144" t="s">
        <v>64</v>
      </c>
      <c r="G6" s="144"/>
      <c r="H6" s="144"/>
      <c r="I6" s="1"/>
    </row>
    <row r="7" spans="1:17" ht="17" customHeight="1" x14ac:dyDescent="0.2"/>
    <row r="8" spans="1:17" ht="17" customHeight="1" x14ac:dyDescent="0.2">
      <c r="C8" s="138" t="s">
        <v>71</v>
      </c>
      <c r="D8" s="138"/>
      <c r="E8" s="138"/>
      <c r="F8" s="138"/>
      <c r="G8" s="138"/>
      <c r="H8" s="138"/>
    </row>
    <row r="9" spans="1:17" x14ac:dyDescent="0.2">
      <c r="C9" s="13"/>
      <c r="D9" s="162" t="s">
        <v>435</v>
      </c>
      <c r="E9" s="163"/>
      <c r="F9" s="13" t="s">
        <v>79</v>
      </c>
      <c r="G9" s="1" t="s">
        <v>74</v>
      </c>
      <c r="H9" s="15" t="s">
        <v>72</v>
      </c>
    </row>
    <row r="10" spans="1:17" x14ac:dyDescent="0.2">
      <c r="C10" s="13" t="s">
        <v>76</v>
      </c>
      <c r="D10" s="13">
        <v>1.08</v>
      </c>
      <c r="E10" s="13">
        <v>1.1000000000000001</v>
      </c>
      <c r="F10" s="14">
        <v>0.9</v>
      </c>
      <c r="G10" s="13">
        <v>0.98</v>
      </c>
      <c r="H10" s="17" t="s">
        <v>85</v>
      </c>
    </row>
    <row r="11" spans="1:17" x14ac:dyDescent="0.2">
      <c r="C11" s="14" t="s">
        <v>80</v>
      </c>
      <c r="D11" s="13" t="s">
        <v>81</v>
      </c>
      <c r="E11" s="13" t="s">
        <v>82</v>
      </c>
      <c r="F11" s="14" t="s">
        <v>77</v>
      </c>
      <c r="G11" s="1"/>
      <c r="H11" s="17" t="s">
        <v>84</v>
      </c>
    </row>
    <row r="12" spans="1:17" x14ac:dyDescent="0.2">
      <c r="C12" s="13" t="s">
        <v>58</v>
      </c>
      <c r="D12" s="13" t="s">
        <v>83</v>
      </c>
      <c r="E12" s="13" t="s">
        <v>78</v>
      </c>
      <c r="F12" s="14" t="s">
        <v>75</v>
      </c>
      <c r="G12" s="13" t="s">
        <v>75</v>
      </c>
      <c r="H12" s="13"/>
    </row>
    <row r="13" spans="1:17" x14ac:dyDescent="0.2">
      <c r="C13" s="56"/>
      <c r="D13" s="56"/>
      <c r="E13" s="56"/>
      <c r="F13" s="104"/>
      <c r="G13" s="56"/>
      <c r="H13" s="56"/>
      <c r="I13" s="56"/>
    </row>
    <row r="14" spans="1:17" x14ac:dyDescent="0.2">
      <c r="C14" s="138" t="s">
        <v>388</v>
      </c>
      <c r="D14" s="138"/>
      <c r="E14" s="138"/>
      <c r="F14" s="138"/>
      <c r="G14" s="138"/>
      <c r="H14" s="138"/>
      <c r="I14" s="138"/>
    </row>
    <row r="15" spans="1:17" x14ac:dyDescent="0.2">
      <c r="C15" s="13"/>
      <c r="D15" s="93" t="s">
        <v>390</v>
      </c>
      <c r="E15" s="93" t="s">
        <v>391</v>
      </c>
      <c r="F15" s="93" t="s">
        <v>389</v>
      </c>
      <c r="G15" s="1" t="s">
        <v>405</v>
      </c>
      <c r="H15" s="1" t="s">
        <v>406</v>
      </c>
      <c r="I15" s="15" t="s">
        <v>72</v>
      </c>
    </row>
    <row r="16" spans="1:17" x14ac:dyDescent="0.2">
      <c r="C16" s="13" t="s">
        <v>76</v>
      </c>
      <c r="D16" s="13">
        <f>0.21*0.21</f>
        <v>4.4099999999999993E-2</v>
      </c>
      <c r="E16" s="13">
        <f>0.3*0.3</f>
        <v>0.09</v>
      </c>
      <c r="F16" s="14">
        <f>0.38*0.38</f>
        <v>0.1444</v>
      </c>
      <c r="G16" s="13">
        <v>0.08</v>
      </c>
      <c r="H16" s="13">
        <v>0.05</v>
      </c>
      <c r="I16" s="17" t="s">
        <v>407</v>
      </c>
    </row>
    <row r="17" spans="1:17" x14ac:dyDescent="0.2">
      <c r="C17" s="13" t="s">
        <v>58</v>
      </c>
      <c r="D17" s="13"/>
      <c r="E17" s="13"/>
      <c r="F17" s="14"/>
      <c r="G17" s="13"/>
      <c r="H17" s="13"/>
      <c r="I17" s="13"/>
    </row>
    <row r="19" spans="1:17" x14ac:dyDescent="0.2">
      <c r="A19" s="127" t="s">
        <v>462</v>
      </c>
      <c r="B19" s="127"/>
      <c r="C19" s="127"/>
      <c r="D19" s="127"/>
      <c r="E19" s="127"/>
      <c r="F19" s="127"/>
      <c r="G19" s="127"/>
      <c r="H19" s="127"/>
      <c r="I19" s="127"/>
      <c r="J19" s="127"/>
      <c r="K19" s="127"/>
      <c r="L19" s="127"/>
      <c r="M19" s="127"/>
      <c r="N19" s="127"/>
      <c r="O19" s="127"/>
      <c r="P19" s="127"/>
      <c r="Q19" s="127"/>
    </row>
    <row r="20" spans="1:17" x14ac:dyDescent="0.2">
      <c r="C20" s="161" t="s">
        <v>471</v>
      </c>
      <c r="D20" s="161"/>
      <c r="E20" s="161"/>
      <c r="F20" s="161"/>
      <c r="G20" s="161"/>
      <c r="H20" s="161"/>
      <c r="I20" s="106"/>
    </row>
    <row r="21" spans="1:17" ht="18" x14ac:dyDescent="0.25">
      <c r="C21" s="1" t="s">
        <v>306</v>
      </c>
      <c r="D21" s="1" t="s">
        <v>384</v>
      </c>
      <c r="E21" s="1" t="s">
        <v>385</v>
      </c>
      <c r="F21" s="1" t="s">
        <v>386</v>
      </c>
      <c r="G21" s="1" t="s">
        <v>387</v>
      </c>
      <c r="H21" s="1" t="s">
        <v>58</v>
      </c>
    </row>
    <row r="22" spans="1:17" x14ac:dyDescent="0.2">
      <c r="C22" s="1" t="s">
        <v>380</v>
      </c>
      <c r="D22" s="1">
        <v>0.72</v>
      </c>
      <c r="E22" s="1">
        <v>0.98</v>
      </c>
      <c r="F22" s="1">
        <v>0.08</v>
      </c>
      <c r="G22" s="1">
        <v>1</v>
      </c>
      <c r="H22" s="1"/>
    </row>
    <row r="23" spans="1:17" x14ac:dyDescent="0.2">
      <c r="C23" s="1" t="s">
        <v>141</v>
      </c>
      <c r="D23">
        <v>0.72</v>
      </c>
      <c r="E23" s="1">
        <v>1.08</v>
      </c>
      <c r="F23" s="1">
        <v>0.05</v>
      </c>
      <c r="G23" s="1">
        <v>1.2</v>
      </c>
      <c r="H23" s="1" t="s">
        <v>428</v>
      </c>
    </row>
    <row r="24" spans="1:17" x14ac:dyDescent="0.2">
      <c r="C24" s="1" t="s">
        <v>381</v>
      </c>
      <c r="D24" s="1">
        <v>0.43</v>
      </c>
      <c r="E24" s="1">
        <v>0.8</v>
      </c>
      <c r="F24" s="1">
        <v>0.04</v>
      </c>
      <c r="G24" s="1">
        <v>0.8</v>
      </c>
      <c r="H24" s="1"/>
    </row>
    <row r="25" spans="1:17" x14ac:dyDescent="0.2">
      <c r="C25" s="1" t="s">
        <v>382</v>
      </c>
      <c r="D25" s="1">
        <v>0.55000000000000004</v>
      </c>
      <c r="E25" s="1">
        <v>0.9</v>
      </c>
      <c r="F25" s="1">
        <v>0.05</v>
      </c>
      <c r="G25" s="1">
        <v>0.9</v>
      </c>
      <c r="H25" s="1"/>
    </row>
    <row r="26" spans="1:17" x14ac:dyDescent="0.2">
      <c r="C26" s="1" t="s">
        <v>145</v>
      </c>
      <c r="D26" s="1">
        <v>1.06</v>
      </c>
      <c r="E26" s="1">
        <v>1.1000000000000001</v>
      </c>
      <c r="F26" s="1">
        <v>0.1</v>
      </c>
      <c r="G26" s="1">
        <v>1.1000000000000001</v>
      </c>
      <c r="H26" s="1"/>
    </row>
    <row r="27" spans="1:17" x14ac:dyDescent="0.2">
      <c r="C27" s="1" t="s">
        <v>383</v>
      </c>
      <c r="D27" s="1">
        <v>1.32</v>
      </c>
      <c r="E27" s="1">
        <v>1.2</v>
      </c>
      <c r="F27" s="1">
        <v>0.14000000000000001</v>
      </c>
      <c r="G27" s="1">
        <v>1.3</v>
      </c>
      <c r="H27" s="1"/>
    </row>
    <row r="29" spans="1:17" x14ac:dyDescent="0.2">
      <c r="A29" s="127" t="s">
        <v>463</v>
      </c>
      <c r="B29" s="127"/>
      <c r="C29" s="127"/>
      <c r="D29" s="127"/>
      <c r="E29" s="127"/>
      <c r="F29" s="127"/>
      <c r="G29" s="127"/>
      <c r="H29" s="127"/>
      <c r="I29" s="127"/>
      <c r="J29" s="127"/>
      <c r="K29" s="127"/>
      <c r="L29" s="127"/>
      <c r="M29" s="127"/>
      <c r="N29" s="127"/>
      <c r="O29" s="127"/>
      <c r="P29" s="127"/>
      <c r="Q29" s="127"/>
    </row>
    <row r="30" spans="1:17" x14ac:dyDescent="0.2">
      <c r="C30" s="56"/>
      <c r="D30" s="56"/>
      <c r="E30" s="56"/>
      <c r="F30" s="56"/>
      <c r="G30" s="56"/>
      <c r="H30" s="56"/>
      <c r="I30" s="56"/>
      <c r="J30" s="56"/>
      <c r="K30" s="56"/>
      <c r="L30" s="56"/>
      <c r="M30" s="56"/>
      <c r="N30" s="56"/>
      <c r="O30" s="56"/>
      <c r="P30" s="56"/>
      <c r="Q30" s="56"/>
    </row>
    <row r="31" spans="1:17" x14ac:dyDescent="0.2">
      <c r="A31" s="107" t="s">
        <v>65</v>
      </c>
      <c r="B31" s="1" t="s">
        <v>430</v>
      </c>
    </row>
    <row r="32" spans="1:17" x14ac:dyDescent="0.2">
      <c r="A32" s="107" t="s">
        <v>66</v>
      </c>
      <c r="B32" s="1" t="s">
        <v>431</v>
      </c>
    </row>
    <row r="33" spans="1:2" x14ac:dyDescent="0.2">
      <c r="A33" s="107" t="s">
        <v>433</v>
      </c>
      <c r="B33" s="1" t="s">
        <v>432</v>
      </c>
    </row>
    <row r="34" spans="1:2" x14ac:dyDescent="0.2">
      <c r="A34" s="108" t="s">
        <v>435</v>
      </c>
      <c r="B34" s="1" t="s">
        <v>434</v>
      </c>
    </row>
    <row r="35" spans="1:2" x14ac:dyDescent="0.2">
      <c r="A35" s="108" t="s">
        <v>79</v>
      </c>
      <c r="B35" s="1" t="s">
        <v>443</v>
      </c>
    </row>
    <row r="36" spans="1:2" x14ac:dyDescent="0.2">
      <c r="A36" s="108" t="s">
        <v>74</v>
      </c>
      <c r="B36" s="1" t="s">
        <v>436</v>
      </c>
    </row>
    <row r="37" spans="1:2" x14ac:dyDescent="0.2">
      <c r="A37" s="108" t="s">
        <v>437</v>
      </c>
      <c r="B37" s="1" t="s">
        <v>439</v>
      </c>
    </row>
    <row r="38" spans="1:2" x14ac:dyDescent="0.2">
      <c r="A38" s="108" t="s">
        <v>429</v>
      </c>
      <c r="B38" s="1" t="s">
        <v>442</v>
      </c>
    </row>
  </sheetData>
  <mergeCells count="9">
    <mergeCell ref="C8:H8"/>
    <mergeCell ref="C14:I14"/>
    <mergeCell ref="A1:Q1"/>
    <mergeCell ref="A19:Q19"/>
    <mergeCell ref="A29:Q29"/>
    <mergeCell ref="C20:H20"/>
    <mergeCell ref="F6:H6"/>
    <mergeCell ref="D9:E9"/>
    <mergeCell ref="C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BA939-24E3-D140-B19D-9AD2AFB20F37}">
  <dimension ref="A1:AH54"/>
  <sheetViews>
    <sheetView workbookViewId="0">
      <selection activeCell="D12" sqref="D12"/>
    </sheetView>
  </sheetViews>
  <sheetFormatPr baseColWidth="10" defaultRowHeight="16" x14ac:dyDescent="0.2"/>
  <cols>
    <col min="16" max="16" width="13.33203125" customWidth="1"/>
  </cols>
  <sheetData>
    <row r="1" spans="2:33" x14ac:dyDescent="0.2">
      <c r="B1" s="128" t="s">
        <v>464</v>
      </c>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30"/>
    </row>
    <row r="3" spans="2:33" x14ac:dyDescent="0.2">
      <c r="B3" s="138" t="s">
        <v>92</v>
      </c>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row>
    <row r="5" spans="2:33" x14ac:dyDescent="0.2">
      <c r="D5" s="132" t="s">
        <v>17</v>
      </c>
      <c r="E5" s="133"/>
      <c r="F5" s="134"/>
      <c r="H5" s="135" t="s">
        <v>10</v>
      </c>
      <c r="I5" s="136"/>
      <c r="J5" s="136"/>
      <c r="K5" s="136"/>
      <c r="L5" s="137"/>
      <c r="N5" s="139" t="s">
        <v>11</v>
      </c>
      <c r="O5" s="139"/>
      <c r="P5" s="139"/>
      <c r="Q5" s="139"/>
      <c r="R5" s="139"/>
      <c r="T5" s="140" t="s">
        <v>12</v>
      </c>
      <c r="U5" s="140"/>
      <c r="V5" s="140"/>
      <c r="W5" s="140"/>
      <c r="Y5" s="141" t="s">
        <v>0</v>
      </c>
      <c r="Z5" s="141"/>
      <c r="AA5" s="141"/>
      <c r="AB5" s="141"/>
      <c r="AC5" s="141"/>
      <c r="AE5" s="131" t="s">
        <v>7</v>
      </c>
      <c r="AF5" s="131"/>
      <c r="AG5" s="131"/>
    </row>
    <row r="6" spans="2:33" x14ac:dyDescent="0.2">
      <c r="B6" s="1" t="s">
        <v>87</v>
      </c>
      <c r="D6" s="132"/>
      <c r="E6" s="133"/>
      <c r="F6" s="134"/>
      <c r="H6" s="18"/>
      <c r="I6" s="19"/>
      <c r="J6" s="19"/>
      <c r="K6" s="19"/>
      <c r="L6" s="20"/>
      <c r="N6" s="27"/>
      <c r="O6" s="28"/>
      <c r="P6" s="28"/>
      <c r="Q6" s="28"/>
      <c r="R6" s="28"/>
      <c r="T6" s="29"/>
      <c r="U6" s="30"/>
      <c r="V6" s="30"/>
      <c r="W6" s="30"/>
      <c r="Y6" s="26"/>
      <c r="Z6" s="26"/>
      <c r="AA6" s="26"/>
      <c r="AB6" s="26"/>
      <c r="AC6" s="26"/>
      <c r="AE6" s="24"/>
      <c r="AF6" s="24"/>
      <c r="AG6" s="24"/>
    </row>
    <row r="7" spans="2:33" x14ac:dyDescent="0.2">
      <c r="B7" s="1" t="s">
        <v>86</v>
      </c>
      <c r="D7" s="1" t="s">
        <v>5</v>
      </c>
      <c r="E7" s="1" t="s">
        <v>14</v>
      </c>
      <c r="F7" s="16" t="s">
        <v>15</v>
      </c>
      <c r="H7" s="1" t="s">
        <v>5</v>
      </c>
      <c r="I7" s="1" t="s">
        <v>6</v>
      </c>
      <c r="J7" s="1" t="s">
        <v>9</v>
      </c>
      <c r="K7" s="1" t="s">
        <v>14</v>
      </c>
      <c r="L7" s="21" t="s">
        <v>15</v>
      </c>
      <c r="N7" s="1" t="s">
        <v>5</v>
      </c>
      <c r="O7" s="1" t="s">
        <v>6</v>
      </c>
      <c r="P7" s="1" t="s">
        <v>9</v>
      </c>
      <c r="Q7" s="1" t="s">
        <v>14</v>
      </c>
      <c r="R7" s="22" t="s">
        <v>15</v>
      </c>
      <c r="T7" s="1" t="s">
        <v>6</v>
      </c>
      <c r="U7" s="1" t="s">
        <v>9</v>
      </c>
      <c r="V7" s="1" t="s">
        <v>14</v>
      </c>
      <c r="W7" s="23" t="s">
        <v>15</v>
      </c>
      <c r="Y7" s="1" t="s">
        <v>5</v>
      </c>
      <c r="Z7" s="1" t="s">
        <v>9</v>
      </c>
      <c r="AA7" s="1" t="s">
        <v>14</v>
      </c>
      <c r="AB7" t="s">
        <v>16</v>
      </c>
      <c r="AC7" s="25" t="s">
        <v>15</v>
      </c>
      <c r="AE7" s="1" t="s">
        <v>5</v>
      </c>
      <c r="AF7" s="1" t="s">
        <v>9</v>
      </c>
      <c r="AG7" s="11" t="s">
        <v>15</v>
      </c>
    </row>
    <row r="8" spans="2:33" x14ac:dyDescent="0.2">
      <c r="B8" s="1" t="s">
        <v>13</v>
      </c>
      <c r="D8" s="1">
        <v>894</v>
      </c>
      <c r="E8" s="1"/>
      <c r="F8" s="16">
        <f>AVERAGE(D8:E8)</f>
        <v>894</v>
      </c>
      <c r="H8" s="1">
        <v>1170</v>
      </c>
      <c r="I8" s="1">
        <v>1196</v>
      </c>
      <c r="J8" s="1"/>
      <c r="K8" s="1"/>
      <c r="L8" s="21">
        <f>AVERAGE(H8:K8)</f>
        <v>1183</v>
      </c>
      <c r="N8" s="1">
        <v>1361</v>
      </c>
      <c r="O8" s="1">
        <v>1378</v>
      </c>
      <c r="P8" s="1"/>
      <c r="Q8" s="1"/>
      <c r="R8" s="22">
        <f>AVERAGE(N8:Q8)</f>
        <v>1369.5</v>
      </c>
      <c r="T8" s="1">
        <v>1556</v>
      </c>
      <c r="U8" s="1"/>
      <c r="V8" s="1"/>
      <c r="W8" s="23">
        <f>AVERAGE(T8:V8)</f>
        <v>1556</v>
      </c>
      <c r="Y8" s="1">
        <v>1777</v>
      </c>
      <c r="Z8" s="1"/>
      <c r="AA8" s="1"/>
      <c r="AB8" s="1"/>
      <c r="AC8" s="25">
        <f>AVERAGE(Y8:AA8)</f>
        <v>1777</v>
      </c>
      <c r="AE8" s="1">
        <v>2110</v>
      </c>
      <c r="AF8" s="1"/>
      <c r="AG8" s="11">
        <f>AVERAGE(AD8:AF8)</f>
        <v>2110</v>
      </c>
    </row>
    <row r="9" spans="2:33" x14ac:dyDescent="0.2">
      <c r="B9" s="1" t="s">
        <v>2</v>
      </c>
      <c r="D9" s="1">
        <v>8.9999999999999993E-3</v>
      </c>
      <c r="E9" s="1"/>
      <c r="F9" s="16">
        <f>AVERAGE(D9:E9)</f>
        <v>8.9999999999999993E-3</v>
      </c>
      <c r="H9" s="1">
        <v>8.9999999999999993E-3</v>
      </c>
      <c r="I9" s="1">
        <v>0.01</v>
      </c>
      <c r="J9" s="1">
        <v>8.0000000000000002E-3</v>
      </c>
      <c r="K9" s="1"/>
      <c r="L9" s="21">
        <f>AVERAGE(H9:K9)</f>
        <v>8.9999999999999993E-3</v>
      </c>
      <c r="N9" s="1">
        <v>8.9999999999999993E-3</v>
      </c>
      <c r="O9" s="1">
        <v>0.01</v>
      </c>
      <c r="P9" s="1">
        <v>8.0000000000000002E-3</v>
      </c>
      <c r="Q9" s="1"/>
      <c r="R9" s="22">
        <f>AVERAGE(N9:Q9)</f>
        <v>8.9999999999999993E-3</v>
      </c>
      <c r="T9" s="1">
        <v>0.01</v>
      </c>
      <c r="U9" s="1">
        <v>8.0000000000000002E-3</v>
      </c>
      <c r="V9" s="1"/>
      <c r="W9" s="23">
        <f>AVERAGE(T9:V9)</f>
        <v>9.0000000000000011E-3</v>
      </c>
      <c r="Y9" s="1">
        <v>8.9999999999999993E-3</v>
      </c>
      <c r="Z9" s="1">
        <v>8.0000000000000002E-3</v>
      </c>
      <c r="AA9" s="1"/>
      <c r="AB9" s="1"/>
      <c r="AC9" s="25">
        <f>AVERAGE(Y9:AA9)</f>
        <v>8.5000000000000006E-3</v>
      </c>
      <c r="AE9" s="1"/>
      <c r="AF9" s="1">
        <v>8.9999999999999993E-3</v>
      </c>
      <c r="AG9" s="11">
        <f>AVERAGE(AD9:AF9)</f>
        <v>8.9999999999999993E-3</v>
      </c>
    </row>
    <row r="10" spans="2:33" x14ac:dyDescent="0.2">
      <c r="B10" s="1" t="s">
        <v>3</v>
      </c>
      <c r="D10" s="1">
        <v>0.32400000000000001</v>
      </c>
      <c r="E10" s="1">
        <v>0.32</v>
      </c>
      <c r="F10" s="16">
        <f>AVERAGE(D10:E10)</f>
        <v>0.32200000000000001</v>
      </c>
      <c r="H10" s="1">
        <v>0.29399999999999998</v>
      </c>
      <c r="I10" s="1">
        <v>0.32</v>
      </c>
      <c r="J10" s="1">
        <v>0.32300000000000001</v>
      </c>
      <c r="K10" s="1">
        <v>0.3</v>
      </c>
      <c r="L10" s="21">
        <f>AVERAGE(H10:K10)</f>
        <v>0.30925000000000002</v>
      </c>
      <c r="N10" s="1">
        <v>0.29399999999999998</v>
      </c>
      <c r="O10" s="1">
        <v>0.31</v>
      </c>
      <c r="P10" s="1">
        <v>0.311</v>
      </c>
      <c r="Q10" s="1">
        <v>0.28999999999999998</v>
      </c>
      <c r="R10" s="22">
        <f>AVERAGE(N10:Q10)</f>
        <v>0.30125000000000002</v>
      </c>
      <c r="T10" s="1">
        <v>0.28000000000000003</v>
      </c>
      <c r="U10" s="1">
        <v>0.35599999999999998</v>
      </c>
      <c r="V10" s="1">
        <v>0.31</v>
      </c>
      <c r="W10" s="23">
        <f>AVERAGE(T10:V10)</f>
        <v>0.3153333333333333</v>
      </c>
      <c r="Y10" s="1">
        <v>0.34100000000000003</v>
      </c>
      <c r="Z10" s="1">
        <v>0.36599999999999999</v>
      </c>
      <c r="AA10" s="1">
        <v>0.35</v>
      </c>
      <c r="AB10" s="1"/>
      <c r="AC10" s="25">
        <f>AVERAGE(Y10:AA10)</f>
        <v>0.35233333333333333</v>
      </c>
      <c r="AE10" s="1"/>
      <c r="AF10" s="1">
        <v>0.45</v>
      </c>
      <c r="AG10" s="11">
        <f>AVERAGE(AD10:AF10)</f>
        <v>0.45</v>
      </c>
    </row>
    <row r="11" spans="2:33" x14ac:dyDescent="0.2">
      <c r="B11" s="1" t="s">
        <v>1</v>
      </c>
      <c r="D11" s="1">
        <v>2.056</v>
      </c>
      <c r="E11" s="1">
        <v>1.97</v>
      </c>
      <c r="F11" s="16">
        <f>AVERAGE(D11:E11)</f>
        <v>2.0129999999999999</v>
      </c>
      <c r="H11" s="1">
        <v>2.1080000000000001</v>
      </c>
      <c r="I11" s="1">
        <v>2.25</v>
      </c>
      <c r="J11" s="1">
        <v>2.33</v>
      </c>
      <c r="K11" s="1">
        <v>2.16</v>
      </c>
      <c r="L11" s="21">
        <f>AVERAGE(H11:K11)</f>
        <v>2.2120000000000002</v>
      </c>
      <c r="N11" s="1">
        <v>2.25</v>
      </c>
      <c r="O11" s="1">
        <v>2.38</v>
      </c>
      <c r="P11" s="1">
        <v>2.37</v>
      </c>
      <c r="Q11" s="1">
        <v>2.2000000000000002</v>
      </c>
      <c r="R11" s="22">
        <f>AVERAGE(N11:Q11)</f>
        <v>2.2999999999999998</v>
      </c>
      <c r="T11" s="1">
        <v>2.4</v>
      </c>
      <c r="U11" s="1">
        <v>2.84</v>
      </c>
      <c r="V11" s="1">
        <v>2.37</v>
      </c>
      <c r="W11" s="23">
        <f>AVERAGE(T11:V11)</f>
        <v>2.5366666666666666</v>
      </c>
      <c r="Y11" s="1">
        <v>2.5299999999999998</v>
      </c>
      <c r="Z11" s="1">
        <v>2.93</v>
      </c>
      <c r="AA11" s="1">
        <v>3.21</v>
      </c>
      <c r="AB11" s="1"/>
      <c r="AC11" s="25">
        <f>AVERAGE(Y11:AA11)</f>
        <v>2.89</v>
      </c>
      <c r="AE11" s="1"/>
      <c r="AF11" s="1">
        <v>3.27</v>
      </c>
      <c r="AG11" s="11">
        <f>AVERAGE(AD11:AF11)</f>
        <v>3.27</v>
      </c>
    </row>
    <row r="12" spans="2:33" x14ac:dyDescent="0.2">
      <c r="B12" s="1" t="s">
        <v>4</v>
      </c>
      <c r="D12" s="1"/>
      <c r="E12" s="1"/>
      <c r="F12" s="16">
        <v>19.7</v>
      </c>
      <c r="H12" s="1"/>
      <c r="I12" s="1">
        <v>19.7</v>
      </c>
      <c r="J12" s="1"/>
      <c r="K12" s="1"/>
      <c r="L12" s="21">
        <f>AVERAGE(H12:K12)</f>
        <v>19.7</v>
      </c>
      <c r="N12" s="1"/>
      <c r="O12" s="1">
        <v>22.6</v>
      </c>
      <c r="P12" s="1"/>
      <c r="Q12" s="1"/>
      <c r="R12" s="22">
        <f>AVERAGE(N12:Q12)</f>
        <v>22.6</v>
      </c>
      <c r="T12" s="1">
        <v>24.3</v>
      </c>
      <c r="U12" s="1"/>
      <c r="V12" s="1"/>
      <c r="W12" s="23">
        <f>AVERAGE(T12:V12)</f>
        <v>24.3</v>
      </c>
      <c r="Y12" s="1"/>
      <c r="Z12" s="1"/>
      <c r="AA12" s="1"/>
      <c r="AB12" s="1">
        <v>29.9</v>
      </c>
      <c r="AC12" s="25">
        <v>29.9</v>
      </c>
      <c r="AE12" s="1"/>
      <c r="AF12" s="1"/>
      <c r="AG12" s="11">
        <v>29.9</v>
      </c>
    </row>
    <row r="15" spans="2:33" x14ac:dyDescent="0.2">
      <c r="B15" s="138" t="s">
        <v>101</v>
      </c>
      <c r="C15" s="138"/>
      <c r="D15" s="138"/>
      <c r="E15" s="138"/>
      <c r="F15" s="138"/>
      <c r="G15" s="138"/>
      <c r="H15" s="138"/>
      <c r="I15" s="138"/>
      <c r="J15" s="138"/>
      <c r="K15" s="138"/>
      <c r="L15" s="138"/>
      <c r="M15" s="138"/>
      <c r="N15" s="138"/>
      <c r="O15" s="138"/>
      <c r="P15" s="138"/>
      <c r="Q15" s="138"/>
      <c r="R15" s="138"/>
    </row>
    <row r="17" spans="1:34" x14ac:dyDescent="0.2">
      <c r="B17" s="1" t="s">
        <v>375</v>
      </c>
      <c r="C17" s="1" t="s">
        <v>95</v>
      </c>
      <c r="E17" s="1" t="s">
        <v>374</v>
      </c>
      <c r="F17" s="1" t="s">
        <v>94</v>
      </c>
      <c r="G17" s="1" t="s">
        <v>95</v>
      </c>
      <c r="I17" s="1" t="s">
        <v>372</v>
      </c>
      <c r="J17" s="1" t="s">
        <v>95</v>
      </c>
      <c r="L17" s="1" t="s">
        <v>373</v>
      </c>
      <c r="M17" s="1" t="s">
        <v>95</v>
      </c>
      <c r="O17" s="1" t="s">
        <v>96</v>
      </c>
      <c r="P17" s="1"/>
      <c r="Q17" s="1" t="s">
        <v>94</v>
      </c>
      <c r="R17" s="1" t="s">
        <v>95</v>
      </c>
    </row>
    <row r="18" spans="1:34" x14ac:dyDescent="0.2">
      <c r="B18" s="3" t="s">
        <v>18</v>
      </c>
      <c r="C18" s="1">
        <v>0.4</v>
      </c>
      <c r="E18" s="5" t="s">
        <v>28</v>
      </c>
      <c r="F18" s="1">
        <v>446996</v>
      </c>
      <c r="G18" s="2">
        <f t="shared" ref="G18:G26" si="0">F18/$F$28</f>
        <v>0.27693838468510834</v>
      </c>
      <c r="I18" s="3" t="s">
        <v>32</v>
      </c>
      <c r="J18" s="1">
        <v>6.6</v>
      </c>
      <c r="L18" s="1" t="s">
        <v>43</v>
      </c>
      <c r="M18" s="1">
        <v>25.4</v>
      </c>
      <c r="P18" s="38" t="s">
        <v>46</v>
      </c>
      <c r="Q18" s="32">
        <v>728</v>
      </c>
      <c r="R18" s="39">
        <f t="shared" ref="R18:R23" si="1">Q18/Q$23*M$18/100</f>
        <v>2.3995286899605253E-4</v>
      </c>
    </row>
    <row r="19" spans="1:34" x14ac:dyDescent="0.2">
      <c r="B19" s="4" t="s">
        <v>19</v>
      </c>
      <c r="C19" s="1">
        <v>4.5</v>
      </c>
      <c r="E19" s="7" t="s">
        <v>29</v>
      </c>
      <c r="F19" s="1">
        <v>435182</v>
      </c>
      <c r="G19" s="2">
        <f t="shared" si="0"/>
        <v>0.26961896778502448</v>
      </c>
      <c r="I19" s="4" t="s">
        <v>37</v>
      </c>
      <c r="J19" s="1">
        <v>17.8</v>
      </c>
      <c r="L19" s="7" t="s">
        <v>0</v>
      </c>
      <c r="M19" s="1">
        <v>12.4</v>
      </c>
      <c r="P19" s="4" t="s">
        <v>97</v>
      </c>
      <c r="Q19" s="1">
        <v>33136</v>
      </c>
      <c r="R19" s="2">
        <f t="shared" si="1"/>
        <v>1.0921810806391754E-2</v>
      </c>
    </row>
    <row r="20" spans="1:34" x14ac:dyDescent="0.2">
      <c r="B20" s="4" t="s">
        <v>20</v>
      </c>
      <c r="C20" s="1">
        <v>20.6</v>
      </c>
      <c r="E20" s="6" t="s">
        <v>30</v>
      </c>
      <c r="F20" s="1">
        <v>26608</v>
      </c>
      <c r="G20" s="2">
        <f t="shared" si="0"/>
        <v>1.6485106219521789E-2</v>
      </c>
      <c r="I20" s="5" t="s">
        <v>38</v>
      </c>
      <c r="J20" s="1">
        <v>22.6</v>
      </c>
      <c r="L20" s="7" t="s">
        <v>44</v>
      </c>
      <c r="M20" s="1">
        <v>43.1</v>
      </c>
      <c r="P20" s="5" t="s">
        <v>98</v>
      </c>
      <c r="Q20" s="1">
        <v>182386</v>
      </c>
      <c r="R20" s="2">
        <f t="shared" si="1"/>
        <v>6.0115445006475324E-2</v>
      </c>
    </row>
    <row r="21" spans="1:34" x14ac:dyDescent="0.2">
      <c r="B21" s="5" t="s">
        <v>21</v>
      </c>
      <c r="C21" s="1">
        <v>17.7</v>
      </c>
      <c r="E21" s="10" t="s">
        <v>31</v>
      </c>
      <c r="F21" s="1">
        <v>3635</v>
      </c>
      <c r="G21" s="2">
        <f t="shared" si="0"/>
        <v>2.2520806189101667E-3</v>
      </c>
      <c r="I21" s="6" t="s">
        <v>39</v>
      </c>
      <c r="J21" s="1">
        <v>6.2</v>
      </c>
      <c r="L21" s="8" t="s">
        <v>41</v>
      </c>
      <c r="M21" s="1">
        <v>3.4</v>
      </c>
      <c r="P21" s="6" t="s">
        <v>99</v>
      </c>
      <c r="Q21" s="1">
        <v>457198</v>
      </c>
      <c r="R21" s="2">
        <f t="shared" si="1"/>
        <v>0.1506950162077709</v>
      </c>
    </row>
    <row r="22" spans="1:34" x14ac:dyDescent="0.2">
      <c r="B22" s="6" t="s">
        <v>22</v>
      </c>
      <c r="C22" s="1">
        <v>1.9</v>
      </c>
      <c r="E22" s="3" t="s">
        <v>32</v>
      </c>
      <c r="F22" s="1">
        <v>13523</v>
      </c>
      <c r="G22" s="2">
        <f t="shared" si="0"/>
        <v>8.3782355459483312E-3</v>
      </c>
      <c r="I22" s="6" t="s">
        <v>35</v>
      </c>
      <c r="J22" s="1">
        <v>2</v>
      </c>
      <c r="L22" s="8" t="s">
        <v>45</v>
      </c>
      <c r="M22" s="1">
        <v>15.7</v>
      </c>
      <c r="P22" s="7" t="s">
        <v>100</v>
      </c>
      <c r="Q22" s="1">
        <v>97170</v>
      </c>
      <c r="R22" s="2">
        <f t="shared" si="1"/>
        <v>3.2027775110365968E-2</v>
      </c>
    </row>
    <row r="23" spans="1:34" x14ac:dyDescent="0.2">
      <c r="B23" s="6" t="s">
        <v>23</v>
      </c>
      <c r="C23" s="1">
        <v>5.6</v>
      </c>
      <c r="E23" s="4" t="s">
        <v>33</v>
      </c>
      <c r="F23" s="1">
        <v>490876</v>
      </c>
      <c r="G23" s="2">
        <f t="shared" si="0"/>
        <v>0.30412443628284647</v>
      </c>
      <c r="I23" s="9" t="s">
        <v>31</v>
      </c>
      <c r="J23" s="1">
        <v>0.1</v>
      </c>
      <c r="P23" s="1" t="s">
        <v>93</v>
      </c>
      <c r="Q23" s="1">
        <f>SUM(Q18:Q22)</f>
        <v>770618</v>
      </c>
      <c r="R23" s="2">
        <f t="shared" si="1"/>
        <v>0.254</v>
      </c>
    </row>
    <row r="24" spans="1:34" x14ac:dyDescent="0.2">
      <c r="B24" s="8" t="s">
        <v>24</v>
      </c>
      <c r="C24" s="1">
        <v>9.3000000000000007</v>
      </c>
      <c r="E24" s="11" t="s">
        <v>34</v>
      </c>
      <c r="F24" s="1">
        <v>61872</v>
      </c>
      <c r="G24" s="2">
        <f t="shared" si="0"/>
        <v>3.833307621821453E-2</v>
      </c>
      <c r="I24" s="9" t="s">
        <v>40</v>
      </c>
      <c r="J24" s="1">
        <v>1</v>
      </c>
    </row>
    <row r="25" spans="1:34" x14ac:dyDescent="0.2">
      <c r="B25" s="9" t="s">
        <v>25</v>
      </c>
      <c r="C25" s="1">
        <v>35</v>
      </c>
      <c r="E25" s="6" t="s">
        <v>35</v>
      </c>
      <c r="F25" s="1">
        <v>112314</v>
      </c>
      <c r="G25" s="2">
        <f t="shared" si="0"/>
        <v>6.9584644465550599E-2</v>
      </c>
      <c r="I25" s="8" t="s">
        <v>41</v>
      </c>
      <c r="J25" s="1">
        <v>5.4</v>
      </c>
    </row>
    <row r="26" spans="1:34" x14ac:dyDescent="0.2">
      <c r="B26" s="8" t="s">
        <v>26</v>
      </c>
      <c r="C26" s="1">
        <v>5</v>
      </c>
      <c r="E26" s="10" t="s">
        <v>36</v>
      </c>
      <c r="F26" s="1">
        <v>23057</v>
      </c>
      <c r="G26" s="2">
        <f t="shared" si="0"/>
        <v>1.4285068178875298E-2</v>
      </c>
      <c r="I26" s="9" t="s">
        <v>0</v>
      </c>
      <c r="J26" s="1">
        <v>38.299999999999997</v>
      </c>
    </row>
    <row r="27" spans="1:34" x14ac:dyDescent="0.2">
      <c r="E27" s="1"/>
      <c r="F27" s="1"/>
      <c r="G27" s="2"/>
    </row>
    <row r="28" spans="1:34" x14ac:dyDescent="0.2">
      <c r="E28" s="1" t="s">
        <v>93</v>
      </c>
      <c r="F28" s="1">
        <f>SUM(F18:F27)</f>
        <v>1614063</v>
      </c>
      <c r="G28" s="2">
        <f>F28/$F$28</f>
        <v>1</v>
      </c>
    </row>
    <row r="30" spans="1:34" x14ac:dyDescent="0.2">
      <c r="A30" s="127" t="s">
        <v>462</v>
      </c>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row>
    <row r="33" spans="1:34" x14ac:dyDescent="0.2">
      <c r="B33" s="135" t="s">
        <v>446</v>
      </c>
      <c r="C33" s="136"/>
      <c r="D33" s="136"/>
      <c r="E33" s="136"/>
      <c r="F33" s="136"/>
      <c r="G33" s="136"/>
      <c r="H33" s="136"/>
      <c r="I33" s="136"/>
      <c r="J33" s="136"/>
      <c r="K33" s="136"/>
      <c r="L33" s="137"/>
    </row>
    <row r="34" spans="1:34" x14ac:dyDescent="0.2">
      <c r="C34" s="3" t="s">
        <v>47</v>
      </c>
      <c r="D34" s="4" t="s">
        <v>525</v>
      </c>
      <c r="E34" s="5" t="s">
        <v>526</v>
      </c>
      <c r="F34" s="6" t="s">
        <v>527</v>
      </c>
      <c r="G34" s="9" t="s">
        <v>0</v>
      </c>
      <c r="H34" s="8" t="s">
        <v>528</v>
      </c>
      <c r="I34" s="1" t="s">
        <v>27</v>
      </c>
      <c r="J34" s="1" t="s">
        <v>42</v>
      </c>
      <c r="K34" s="1" t="s">
        <v>48</v>
      </c>
      <c r="L34" s="1" t="s">
        <v>53</v>
      </c>
    </row>
    <row r="35" spans="1:34" x14ac:dyDescent="0.2">
      <c r="B35" s="1" t="s">
        <v>49</v>
      </c>
      <c r="C35" s="59">
        <v>894</v>
      </c>
      <c r="D35" s="63">
        <v>1183</v>
      </c>
      <c r="E35" s="67">
        <v>1369.5</v>
      </c>
      <c r="F35" s="71">
        <v>1556</v>
      </c>
      <c r="G35" s="75">
        <v>1777</v>
      </c>
      <c r="H35" s="79">
        <v>2110</v>
      </c>
      <c r="I35" s="34">
        <f>(C$40*C35+D$40*D35+E$40*E35+F$40*F35+G$40*G35+H$40*H35)/100</f>
        <v>1583.2904999999998</v>
      </c>
      <c r="J35" s="34">
        <f>(C$41*C35+D$41*D35+E$41*E35+F$41*F35+G$41*G35+H$41*H35)/100</f>
        <v>1492.7470000000001</v>
      </c>
      <c r="K35" s="34">
        <f>(C$42*C35+D$42*D35+E$42*E35+F$42*F35+G$42*G35+H$42*H35)/100</f>
        <v>1469.3</v>
      </c>
      <c r="L35" s="34">
        <f>(C$43*C35+D$43*D35+E$43*E35+F$43*F35+G$43*G35+H$43*H35)/100</f>
        <v>1776.73</v>
      </c>
    </row>
    <row r="36" spans="1:34" x14ac:dyDescent="0.2">
      <c r="B36" s="1" t="s">
        <v>50</v>
      </c>
      <c r="C36" s="60">
        <v>8.9999999999999993E-3</v>
      </c>
      <c r="D36" s="64">
        <v>8.9999999999999993E-3</v>
      </c>
      <c r="E36" s="68">
        <v>8.9999999999999993E-3</v>
      </c>
      <c r="F36" s="72">
        <v>9.0000000000000011E-3</v>
      </c>
      <c r="G36" s="76">
        <v>8.5000000000000006E-3</v>
      </c>
      <c r="H36" s="80">
        <v>8.9999999999999993E-3</v>
      </c>
      <c r="I36" s="36">
        <f>(C$40*C36+D$40*D36+E$40*E36+F$40*F36+G$40*G36+H$40*H36)/100</f>
        <v>8.8250000000000012E-3</v>
      </c>
      <c r="J36" s="36">
        <f>(C$41*C36+D$41*D36+E$41*E36+F$41*F36+G$41*G36+H$41*H36)/100</f>
        <v>8.6409999999999994E-3</v>
      </c>
      <c r="K36" s="36">
        <f>(C$42*C36+D$42*D36+E$42*E36+F$42*F36+G$42*G36+H$42*H36)/100</f>
        <v>8.8599999999999998E-3</v>
      </c>
      <c r="L36" s="36">
        <f>(C$43*C36+D$43*D36+E$43*E36+F$43*F36+G$43*G36+H$43*H36)/100</f>
        <v>8.7050000000000009E-3</v>
      </c>
    </row>
    <row r="37" spans="1:34" x14ac:dyDescent="0.2">
      <c r="B37" s="1" t="s">
        <v>51</v>
      </c>
      <c r="C37" s="61">
        <v>0.32200000000000001</v>
      </c>
      <c r="D37" s="65">
        <v>0.30925000000000002</v>
      </c>
      <c r="E37" s="69">
        <v>0.30125000000000002</v>
      </c>
      <c r="F37" s="73">
        <v>0.3153333333333333</v>
      </c>
      <c r="G37" s="77">
        <v>0.35233333333333333</v>
      </c>
      <c r="H37" s="81">
        <v>0.45</v>
      </c>
      <c r="I37" s="33">
        <f>(C$40*C37+D$40*D37+E$40*E37+F$40*F37+G$40*G37+H$40*H37)/100</f>
        <v>0.3435476666666667</v>
      </c>
      <c r="J37" s="33">
        <f>(C$41*C37+D$41*D37+E$41*E37+F$41*F37+G$41*G37+H$41*H37)/100</f>
        <v>0.3276816666666667</v>
      </c>
      <c r="K37" s="33">
        <f>(C$42*C37+D$42*D37+E$42*E37+F$42*F37+G$42*G37+H$42*H37)/100</f>
        <v>0.32537833333333332</v>
      </c>
      <c r="L37" s="33">
        <f>(C$43*C37+D$43*D37+E$43*E37+F$43*F37+G$43*G37+H$43*H37)/100</f>
        <v>0.36184416666666663</v>
      </c>
    </row>
    <row r="38" spans="1:34" x14ac:dyDescent="0.2">
      <c r="B38" s="1" t="s">
        <v>1</v>
      </c>
      <c r="C38" s="61">
        <v>2.0129999999999999</v>
      </c>
      <c r="D38" s="65">
        <v>2.2120000000000002</v>
      </c>
      <c r="E38" s="69">
        <v>2.2999999999999998</v>
      </c>
      <c r="F38" s="73">
        <v>2.5366666666666666</v>
      </c>
      <c r="G38" s="77">
        <v>2.89</v>
      </c>
      <c r="H38" s="81">
        <v>3.27</v>
      </c>
      <c r="I38" s="33">
        <f>(C$40*C38+D$40*D38+E$40*E38+F$40*F38+G$40*G38+H$40*H38)/100</f>
        <v>2.6397239999999997</v>
      </c>
      <c r="J38" s="33">
        <f>(C$41*C38+D$41*D38+E$41*E38+F$41*F38+G$41*G38+H$41*H38)/100</f>
        <v>2.5239806666666671</v>
      </c>
      <c r="K38" s="33">
        <f>(C$42*C38+D$42*D38+E$42*E38+F$42*F38+G$42*G38+H$42*H38)/100</f>
        <v>2.4960300000000002</v>
      </c>
      <c r="L38" s="33">
        <f>(C$43*C38+D$43*D38+E$43*E38+F$43*F38+G$43*G38+H$43*H38)/100</f>
        <v>2.8670200000000001</v>
      </c>
    </row>
    <row r="39" spans="1:34" x14ac:dyDescent="0.2">
      <c r="B39" s="1" t="s">
        <v>52</v>
      </c>
      <c r="C39" s="62">
        <v>19.7</v>
      </c>
      <c r="D39" s="66">
        <v>19.7</v>
      </c>
      <c r="E39" s="70">
        <v>22.6</v>
      </c>
      <c r="F39" s="74">
        <v>24.3</v>
      </c>
      <c r="G39" s="78">
        <v>29.9</v>
      </c>
      <c r="H39" s="82">
        <v>29.9</v>
      </c>
      <c r="I39" s="35">
        <f>(C$40*C39+D$40*D39+E$40*E39+F$40*F39+G$40*G39+H$40*H39)/100</f>
        <v>25.5869</v>
      </c>
      <c r="J39" s="35">
        <f>(C$41*C39+D$41*D39+E$41*E39+F$41*F39+G$41*G39+H$41*H39)/100</f>
        <v>24.864799999999999</v>
      </c>
      <c r="K39" s="35">
        <f>(C$42*C39+D$42*D39+E$42*E39+F$42*F39+G$42*G39+H$42*H39)/100</f>
        <v>24.19</v>
      </c>
      <c r="L39" s="35">
        <f>(C$43*C39+D$43*D39+E$43*E39+F$43*F39+G$43*G39+H$43*H39)/100</f>
        <v>28.519999999999996</v>
      </c>
    </row>
    <row r="40" spans="1:34" x14ac:dyDescent="0.2">
      <c r="B40" s="1" t="s">
        <v>88</v>
      </c>
      <c r="C40" s="37">
        <v>0.4</v>
      </c>
      <c r="D40" s="37">
        <v>25.1</v>
      </c>
      <c r="E40" s="37">
        <v>17.7</v>
      </c>
      <c r="F40" s="37">
        <v>7.5</v>
      </c>
      <c r="G40" s="37">
        <v>35</v>
      </c>
      <c r="H40" s="37">
        <v>14.3</v>
      </c>
    </row>
    <row r="41" spans="1:34" x14ac:dyDescent="0.2">
      <c r="B41" s="1" t="s">
        <v>89</v>
      </c>
      <c r="C41" s="37">
        <v>6.6</v>
      </c>
      <c r="D41" s="37">
        <v>17.8</v>
      </c>
      <c r="E41" s="37">
        <v>22.6</v>
      </c>
      <c r="F41" s="37">
        <v>6.4</v>
      </c>
      <c r="G41" s="37">
        <v>39.4</v>
      </c>
      <c r="H41" s="37">
        <v>5.4</v>
      </c>
    </row>
    <row r="42" spans="1:34" x14ac:dyDescent="0.2">
      <c r="B42" s="1" t="s">
        <v>90</v>
      </c>
      <c r="C42" s="37">
        <v>1</v>
      </c>
      <c r="D42" s="37">
        <v>30</v>
      </c>
      <c r="E42" s="37">
        <v>28</v>
      </c>
      <c r="F42" s="37">
        <v>9</v>
      </c>
      <c r="G42" s="37">
        <v>28</v>
      </c>
      <c r="H42" s="37">
        <v>4</v>
      </c>
    </row>
    <row r="43" spans="1:34" x14ac:dyDescent="0.2">
      <c r="B43" s="1" t="s">
        <v>91</v>
      </c>
      <c r="C43" s="37">
        <v>0</v>
      </c>
      <c r="D43" s="37">
        <v>1</v>
      </c>
      <c r="E43" s="37">
        <v>6</v>
      </c>
      <c r="F43" s="37">
        <v>15</v>
      </c>
      <c r="G43" s="37">
        <v>59</v>
      </c>
      <c r="H43" s="37">
        <v>19</v>
      </c>
    </row>
    <row r="45" spans="1:34" x14ac:dyDescent="0.2">
      <c r="A45" s="127" t="s">
        <v>310</v>
      </c>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row>
    <row r="46" spans="1:34" x14ac:dyDescent="0.2">
      <c r="A46" s="32" t="s">
        <v>111</v>
      </c>
      <c r="B46" s="32" t="s">
        <v>354</v>
      </c>
    </row>
    <row r="47" spans="1:34" x14ac:dyDescent="0.2">
      <c r="A47" s="1" t="s">
        <v>368</v>
      </c>
      <c r="B47" s="1" t="s">
        <v>376</v>
      </c>
    </row>
    <row r="48" spans="1:34" x14ac:dyDescent="0.2">
      <c r="A48" s="1" t="s">
        <v>369</v>
      </c>
      <c r="B48" s="84" t="s">
        <v>441</v>
      </c>
    </row>
    <row r="49" spans="1:2" x14ac:dyDescent="0.2">
      <c r="A49" s="1" t="s">
        <v>401</v>
      </c>
      <c r="B49" s="84" t="s">
        <v>438</v>
      </c>
    </row>
    <row r="50" spans="1:2" x14ac:dyDescent="0.2">
      <c r="A50" s="1" t="s">
        <v>16</v>
      </c>
      <c r="B50" s="84" t="s">
        <v>440</v>
      </c>
    </row>
    <row r="51" spans="1:2" x14ac:dyDescent="0.2">
      <c r="A51" s="1" t="s">
        <v>370</v>
      </c>
      <c r="B51" s="1" t="s">
        <v>377</v>
      </c>
    </row>
    <row r="52" spans="1:2" x14ac:dyDescent="0.2">
      <c r="A52" s="1" t="s">
        <v>119</v>
      </c>
      <c r="B52" s="1" t="s">
        <v>349</v>
      </c>
    </row>
    <row r="53" spans="1:2" x14ac:dyDescent="0.2">
      <c r="A53" s="1" t="s">
        <v>371</v>
      </c>
      <c r="B53" s="1" t="s">
        <v>378</v>
      </c>
    </row>
    <row r="54" spans="1:2" x14ac:dyDescent="0.2">
      <c r="A54" s="1" t="s">
        <v>295</v>
      </c>
      <c r="B54" s="1" t="s">
        <v>348</v>
      </c>
    </row>
  </sheetData>
  <mergeCells count="13">
    <mergeCell ref="A45:AH45"/>
    <mergeCell ref="B1:AG1"/>
    <mergeCell ref="AE5:AG5"/>
    <mergeCell ref="D6:F6"/>
    <mergeCell ref="B33:L33"/>
    <mergeCell ref="B3:AG3"/>
    <mergeCell ref="B15:R15"/>
    <mergeCell ref="D5:F5"/>
    <mergeCell ref="H5:L5"/>
    <mergeCell ref="N5:R5"/>
    <mergeCell ref="T5:W5"/>
    <mergeCell ref="Y5:AC5"/>
    <mergeCell ref="A30:AH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22227-E19A-7348-B256-1FB430D3D982}">
  <dimension ref="A2:H30"/>
  <sheetViews>
    <sheetView workbookViewId="0">
      <selection activeCell="B12" sqref="B12"/>
    </sheetView>
  </sheetViews>
  <sheetFormatPr baseColWidth="10" defaultRowHeight="16" x14ac:dyDescent="0.2"/>
  <cols>
    <col min="2" max="2" width="23.1640625" customWidth="1"/>
    <col min="3" max="3" width="12.83203125" customWidth="1"/>
    <col min="6" max="6" width="12" customWidth="1"/>
    <col min="8" max="8" width="15.1640625" customWidth="1"/>
  </cols>
  <sheetData>
    <row r="2" spans="1:8" x14ac:dyDescent="0.2">
      <c r="A2" s="127" t="s">
        <v>464</v>
      </c>
      <c r="B2" s="127"/>
      <c r="C2" s="127"/>
      <c r="D2" s="127"/>
      <c r="E2" s="127"/>
      <c r="F2" s="127"/>
      <c r="G2" s="127"/>
      <c r="H2" s="127"/>
    </row>
    <row r="4" spans="1:8" x14ac:dyDescent="0.2">
      <c r="B4" s="1" t="s">
        <v>505</v>
      </c>
      <c r="C4" s="1" t="s">
        <v>104</v>
      </c>
      <c r="D4" s="1" t="s">
        <v>411</v>
      </c>
      <c r="E4" s="1" t="s">
        <v>219</v>
      </c>
      <c r="F4" s="142"/>
      <c r="G4" s="142"/>
      <c r="H4" s="142"/>
    </row>
    <row r="5" spans="1:8" x14ac:dyDescent="0.2">
      <c r="B5" s="1" t="s">
        <v>413</v>
      </c>
      <c r="C5" s="1" t="s">
        <v>416</v>
      </c>
      <c r="D5" s="1">
        <v>500</v>
      </c>
      <c r="E5" s="1">
        <v>1285</v>
      </c>
    </row>
    <row r="6" spans="1:8" x14ac:dyDescent="0.2">
      <c r="B6" s="1" t="s">
        <v>414</v>
      </c>
      <c r="C6" s="1">
        <v>750</v>
      </c>
      <c r="D6" s="1">
        <v>600</v>
      </c>
      <c r="E6" s="1">
        <v>500</v>
      </c>
    </row>
    <row r="7" spans="1:8" x14ac:dyDescent="0.2">
      <c r="B7" s="1" t="s">
        <v>415</v>
      </c>
      <c r="C7" s="1">
        <v>1500</v>
      </c>
      <c r="D7" s="1">
        <v>3000</v>
      </c>
      <c r="E7" s="1">
        <v>500</v>
      </c>
    </row>
    <row r="9" spans="1:8" x14ac:dyDescent="0.2">
      <c r="B9" s="1" t="s">
        <v>506</v>
      </c>
      <c r="C9" s="1" t="s">
        <v>104</v>
      </c>
      <c r="D9" s="1" t="s">
        <v>411</v>
      </c>
      <c r="E9" s="1" t="s">
        <v>219</v>
      </c>
      <c r="F9" s="1" t="s">
        <v>108</v>
      </c>
      <c r="G9" s="1" t="s">
        <v>408</v>
      </c>
      <c r="H9" s="1" t="s">
        <v>111</v>
      </c>
    </row>
    <row r="10" spans="1:8" x14ac:dyDescent="0.2">
      <c r="B10" s="1" t="s">
        <v>413</v>
      </c>
      <c r="C10" s="1" t="s">
        <v>416</v>
      </c>
      <c r="D10" s="1">
        <v>170</v>
      </c>
      <c r="E10" s="1"/>
      <c r="F10" s="1"/>
      <c r="G10" s="1"/>
      <c r="H10" s="1" t="s">
        <v>420</v>
      </c>
    </row>
    <row r="11" spans="1:8" x14ac:dyDescent="0.2">
      <c r="B11" s="1" t="s">
        <v>414</v>
      </c>
      <c r="C11" s="1" t="s">
        <v>418</v>
      </c>
      <c r="D11" s="1">
        <v>200</v>
      </c>
      <c r="E11" s="1"/>
      <c r="F11" s="1"/>
      <c r="G11" s="1"/>
      <c r="H11" s="1" t="s">
        <v>421</v>
      </c>
    </row>
    <row r="12" spans="1:8" x14ac:dyDescent="0.2">
      <c r="B12" s="1" t="s">
        <v>415</v>
      </c>
      <c r="C12" s="1" t="s">
        <v>417</v>
      </c>
      <c r="D12" s="1">
        <v>1000</v>
      </c>
      <c r="E12" s="1"/>
      <c r="F12" s="1"/>
      <c r="G12" s="1"/>
      <c r="H12" s="1" t="s">
        <v>422</v>
      </c>
    </row>
    <row r="13" spans="1:8" ht="34" x14ac:dyDescent="0.2">
      <c r="B13" s="1" t="s">
        <v>93</v>
      </c>
      <c r="C13" s="1" t="s">
        <v>419</v>
      </c>
      <c r="D13" s="1" t="s">
        <v>425</v>
      </c>
      <c r="E13" s="1" t="s">
        <v>426</v>
      </c>
      <c r="F13" s="1" t="s">
        <v>427</v>
      </c>
      <c r="G13" s="1" t="s">
        <v>423</v>
      </c>
      <c r="H13" s="105" t="s">
        <v>424</v>
      </c>
    </row>
    <row r="15" spans="1:8" x14ac:dyDescent="0.2">
      <c r="A15" s="127" t="s">
        <v>460</v>
      </c>
      <c r="B15" s="127"/>
      <c r="C15" s="127"/>
      <c r="D15" s="127"/>
      <c r="E15" s="127"/>
      <c r="F15" s="127"/>
      <c r="G15" s="127"/>
      <c r="H15" s="127"/>
    </row>
    <row r="17" spans="1:8" x14ac:dyDescent="0.2">
      <c r="B17" s="135" t="s">
        <v>504</v>
      </c>
      <c r="C17" s="136"/>
      <c r="D17" s="137"/>
    </row>
    <row r="18" spans="1:8" x14ac:dyDescent="0.2">
      <c r="B18" s="1" t="s">
        <v>306</v>
      </c>
      <c r="C18" s="1" t="s">
        <v>231</v>
      </c>
      <c r="D18" s="1" t="s">
        <v>215</v>
      </c>
    </row>
    <row r="19" spans="1:8" x14ac:dyDescent="0.2">
      <c r="B19" s="1" t="s">
        <v>37</v>
      </c>
      <c r="C19" s="1">
        <v>350</v>
      </c>
      <c r="D19" s="1">
        <v>350</v>
      </c>
    </row>
    <row r="20" spans="1:8" x14ac:dyDescent="0.2">
      <c r="B20" s="1" t="s">
        <v>39</v>
      </c>
      <c r="C20" s="1">
        <v>425</v>
      </c>
      <c r="D20" s="1">
        <v>725</v>
      </c>
    </row>
    <row r="21" spans="1:8" x14ac:dyDescent="0.2">
      <c r="B21" s="1" t="s">
        <v>57</v>
      </c>
      <c r="C21" s="1">
        <v>500</v>
      </c>
      <c r="D21" s="1">
        <v>1000</v>
      </c>
    </row>
    <row r="23" spans="1:8" x14ac:dyDescent="0.2">
      <c r="A23" s="127" t="s">
        <v>310</v>
      </c>
      <c r="B23" s="127"/>
      <c r="C23" s="127"/>
      <c r="D23" s="127"/>
      <c r="E23" s="127"/>
      <c r="F23" s="127"/>
      <c r="G23" s="127"/>
      <c r="H23" s="127"/>
    </row>
    <row r="24" spans="1:8" x14ac:dyDescent="0.2">
      <c r="A24" s="93"/>
      <c r="B24" s="112"/>
    </row>
    <row r="25" spans="1:8" x14ac:dyDescent="0.2">
      <c r="A25" s="1" t="s">
        <v>104</v>
      </c>
      <c r="B25" s="103" t="s">
        <v>350</v>
      </c>
    </row>
    <row r="26" spans="1:8" x14ac:dyDescent="0.2">
      <c r="A26" s="1" t="s">
        <v>411</v>
      </c>
      <c r="B26" s="103" t="s">
        <v>412</v>
      </c>
    </row>
    <row r="27" spans="1:8" x14ac:dyDescent="0.2">
      <c r="A27" s="1" t="s">
        <v>219</v>
      </c>
      <c r="B27" s="103" t="s">
        <v>355</v>
      </c>
    </row>
    <row r="28" spans="1:8" x14ac:dyDescent="0.2">
      <c r="A28" s="1" t="s">
        <v>108</v>
      </c>
      <c r="B28" t="s">
        <v>351</v>
      </c>
    </row>
    <row r="29" spans="1:8" x14ac:dyDescent="0.2">
      <c r="A29" s="1" t="s">
        <v>408</v>
      </c>
      <c r="B29" s="103" t="s">
        <v>409</v>
      </c>
    </row>
    <row r="30" spans="1:8" x14ac:dyDescent="0.2">
      <c r="A30" s="1" t="s">
        <v>111</v>
      </c>
      <c r="B30" s="103" t="s">
        <v>354</v>
      </c>
    </row>
  </sheetData>
  <mergeCells count="5">
    <mergeCell ref="A2:H2"/>
    <mergeCell ref="A15:H15"/>
    <mergeCell ref="A23:H23"/>
    <mergeCell ref="B17:D17"/>
    <mergeCell ref="F4:H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38332-1ED6-464E-9021-DC1A13B71043}">
  <dimension ref="A1:Q72"/>
  <sheetViews>
    <sheetView topLeftCell="A2" workbookViewId="0">
      <selection activeCell="H6" sqref="H6"/>
    </sheetView>
  </sheetViews>
  <sheetFormatPr baseColWidth="10" defaultRowHeight="16" x14ac:dyDescent="0.2"/>
  <cols>
    <col min="1" max="1" width="15.6640625" customWidth="1"/>
    <col min="3" max="3" width="13" customWidth="1"/>
    <col min="5" max="5" width="13.6640625" customWidth="1"/>
    <col min="7" max="7" width="13.1640625" customWidth="1"/>
    <col min="17" max="17" width="37" customWidth="1"/>
  </cols>
  <sheetData>
    <row r="1" spans="1:17" x14ac:dyDescent="0.2">
      <c r="A1" s="127" t="s">
        <v>458</v>
      </c>
      <c r="B1" s="127"/>
      <c r="C1" s="127"/>
      <c r="D1" s="127"/>
      <c r="E1" s="127"/>
      <c r="F1" s="127"/>
      <c r="G1" s="127"/>
      <c r="H1" s="127"/>
      <c r="I1" s="127"/>
      <c r="J1" s="127"/>
      <c r="K1" s="127"/>
      <c r="L1" s="127"/>
      <c r="M1" s="127"/>
      <c r="N1" s="127"/>
      <c r="O1" s="127"/>
      <c r="P1" s="127"/>
      <c r="Q1" s="127"/>
    </row>
    <row r="3" spans="1:17" x14ac:dyDescent="0.2">
      <c r="C3" s="138" t="s">
        <v>308</v>
      </c>
      <c r="D3" s="138"/>
      <c r="E3" s="138"/>
      <c r="F3" s="138"/>
      <c r="G3" s="138"/>
      <c r="H3" s="138"/>
      <c r="I3" s="138"/>
      <c r="J3" s="138"/>
      <c r="K3" s="138"/>
      <c r="L3" s="138"/>
      <c r="M3" s="138"/>
      <c r="N3" s="138"/>
    </row>
    <row r="4" spans="1:17" ht="18" x14ac:dyDescent="0.25">
      <c r="C4" s="1"/>
      <c r="D4" s="1" t="s">
        <v>178</v>
      </c>
      <c r="E4" s="1" t="s">
        <v>190</v>
      </c>
      <c r="F4" s="1" t="s">
        <v>179</v>
      </c>
      <c r="G4" s="1" t="s">
        <v>559</v>
      </c>
      <c r="H4" s="1" t="s">
        <v>556</v>
      </c>
      <c r="I4" s="1" t="s">
        <v>557</v>
      </c>
      <c r="J4" s="1" t="s">
        <v>558</v>
      </c>
      <c r="K4" s="1" t="s">
        <v>174</v>
      </c>
      <c r="L4" s="1" t="s">
        <v>183</v>
      </c>
      <c r="M4" s="1" t="s">
        <v>177</v>
      </c>
      <c r="N4" s="1" t="s">
        <v>58</v>
      </c>
    </row>
    <row r="5" spans="1:17" x14ac:dyDescent="0.2">
      <c r="C5" s="1" t="s">
        <v>170</v>
      </c>
      <c r="D5" s="1">
        <v>160</v>
      </c>
      <c r="E5" s="1">
        <v>60</v>
      </c>
      <c r="F5" s="1"/>
      <c r="G5" s="1" t="s">
        <v>166</v>
      </c>
      <c r="H5" s="40">
        <v>0.06</v>
      </c>
      <c r="I5" s="40">
        <v>0.09</v>
      </c>
      <c r="J5" s="40">
        <v>0.15</v>
      </c>
      <c r="K5" s="40" t="s">
        <v>176</v>
      </c>
      <c r="L5" s="1" t="s">
        <v>165</v>
      </c>
      <c r="M5" s="1"/>
      <c r="N5" s="1"/>
    </row>
    <row r="6" spans="1:17" x14ac:dyDescent="0.2">
      <c r="C6" s="1" t="s">
        <v>169</v>
      </c>
      <c r="D6" s="1" t="s">
        <v>167</v>
      </c>
      <c r="E6" s="1"/>
      <c r="F6" s="57">
        <v>4.0000000000000002E-4</v>
      </c>
      <c r="G6" s="1"/>
      <c r="H6" s="1"/>
      <c r="I6" s="1"/>
      <c r="J6" s="1"/>
      <c r="K6" s="1"/>
      <c r="L6" s="1"/>
      <c r="M6" s="1"/>
      <c r="N6" s="1" t="s">
        <v>168</v>
      </c>
    </row>
    <row r="7" spans="1:17" x14ac:dyDescent="0.2">
      <c r="C7" s="1" t="s">
        <v>186</v>
      </c>
      <c r="D7" s="1">
        <v>85</v>
      </c>
      <c r="E7" s="1"/>
      <c r="F7" s="1"/>
      <c r="G7" s="1"/>
      <c r="H7" s="1"/>
      <c r="I7" s="1"/>
      <c r="J7" s="1"/>
      <c r="K7" s="1"/>
      <c r="L7" s="1" t="s">
        <v>182</v>
      </c>
      <c r="M7" s="1">
        <v>466</v>
      </c>
      <c r="N7" s="1" t="s">
        <v>180</v>
      </c>
      <c r="O7" t="s">
        <v>181</v>
      </c>
    </row>
    <row r="8" spans="1:17" x14ac:dyDescent="0.2">
      <c r="C8" s="1" t="s">
        <v>109</v>
      </c>
      <c r="D8" s="1"/>
      <c r="E8" s="1"/>
      <c r="F8" s="1"/>
      <c r="G8" s="1"/>
      <c r="H8" s="1"/>
      <c r="I8" s="1"/>
      <c r="J8" s="1"/>
      <c r="K8" s="1"/>
      <c r="L8" s="40">
        <v>0.47</v>
      </c>
      <c r="M8" s="1">
        <v>0.02</v>
      </c>
      <c r="N8" s="1"/>
    </row>
    <row r="9" spans="1:17" x14ac:dyDescent="0.2">
      <c r="C9" s="1" t="s">
        <v>212</v>
      </c>
      <c r="D9" s="1">
        <v>97</v>
      </c>
      <c r="E9" s="1">
        <v>60</v>
      </c>
      <c r="F9" s="57">
        <v>4.6000000000000001E-4</v>
      </c>
      <c r="G9" s="1" t="s">
        <v>172</v>
      </c>
      <c r="H9" s="40">
        <v>0.06</v>
      </c>
      <c r="I9" s="40">
        <v>0.1</v>
      </c>
      <c r="J9" s="40">
        <v>0.15</v>
      </c>
      <c r="K9" s="1" t="s">
        <v>175</v>
      </c>
      <c r="L9" s="1"/>
      <c r="M9" s="1"/>
      <c r="N9" s="1" t="s">
        <v>173</v>
      </c>
      <c r="O9" t="s">
        <v>171</v>
      </c>
    </row>
    <row r="10" spans="1:17" x14ac:dyDescent="0.2">
      <c r="C10" s="1" t="s">
        <v>187</v>
      </c>
      <c r="D10" s="40" t="s">
        <v>188</v>
      </c>
      <c r="E10" s="1" t="s">
        <v>191</v>
      </c>
      <c r="F10" s="1"/>
      <c r="G10" s="1"/>
      <c r="H10" s="1" t="s">
        <v>189</v>
      </c>
      <c r="I10" s="1"/>
      <c r="J10" s="1"/>
      <c r="K10" s="1"/>
      <c r="L10" s="1"/>
      <c r="M10" s="1"/>
      <c r="N10" s="1" t="s">
        <v>553</v>
      </c>
    </row>
    <row r="11" spans="1:17" x14ac:dyDescent="0.2">
      <c r="C11" s="1" t="s">
        <v>192</v>
      </c>
      <c r="D11" s="40" t="s">
        <v>193</v>
      </c>
      <c r="E11" s="1"/>
      <c r="F11" s="1"/>
      <c r="G11" s="1"/>
      <c r="H11" s="1"/>
      <c r="I11" s="1"/>
      <c r="J11" s="1"/>
      <c r="K11" s="1"/>
      <c r="L11" s="83">
        <v>0.40500000000000003</v>
      </c>
      <c r="M11" s="1"/>
      <c r="N11" s="1"/>
    </row>
    <row r="12" spans="1:17" x14ac:dyDescent="0.2">
      <c r="C12" s="6" t="s">
        <v>72</v>
      </c>
      <c r="D12" s="6" t="s">
        <v>194</v>
      </c>
      <c r="E12" s="6" t="s">
        <v>191</v>
      </c>
      <c r="F12" s="6" t="s">
        <v>195</v>
      </c>
      <c r="G12" s="6" t="s">
        <v>196</v>
      </c>
      <c r="H12" s="6" t="s">
        <v>189</v>
      </c>
      <c r="I12" s="6" t="s">
        <v>197</v>
      </c>
      <c r="J12" s="100">
        <v>0.15</v>
      </c>
      <c r="K12" s="6" t="s">
        <v>175</v>
      </c>
      <c r="L12" s="6" t="s">
        <v>198</v>
      </c>
      <c r="M12" s="6" t="s">
        <v>199</v>
      </c>
      <c r="N12" s="6"/>
    </row>
    <row r="13" spans="1:17" x14ac:dyDescent="0.2">
      <c r="C13" s="23" t="s">
        <v>307</v>
      </c>
      <c r="D13" s="23">
        <v>100</v>
      </c>
      <c r="E13" s="23"/>
      <c r="F13" s="58">
        <v>4.0000000000000002E-4</v>
      </c>
      <c r="G13" s="23"/>
      <c r="H13" s="23"/>
      <c r="I13" s="23"/>
      <c r="J13" s="23"/>
      <c r="K13" s="23"/>
      <c r="L13" s="99">
        <v>0.45</v>
      </c>
      <c r="M13" s="23">
        <v>300</v>
      </c>
      <c r="N13" s="23"/>
    </row>
    <row r="15" spans="1:17" x14ac:dyDescent="0.2">
      <c r="A15" s="127" t="s">
        <v>459</v>
      </c>
      <c r="B15" s="127"/>
      <c r="C15" s="127"/>
      <c r="D15" s="127"/>
      <c r="E15" s="127"/>
      <c r="F15" s="127"/>
      <c r="G15" s="127"/>
      <c r="H15" s="127"/>
      <c r="I15" s="127"/>
      <c r="J15" s="127"/>
      <c r="K15" s="127"/>
      <c r="L15" s="127"/>
      <c r="M15" s="127"/>
      <c r="N15" s="127"/>
      <c r="O15" s="127"/>
      <c r="P15" s="127"/>
      <c r="Q15" s="127"/>
    </row>
    <row r="17" spans="3:17" x14ac:dyDescent="0.2">
      <c r="C17" s="138" t="s">
        <v>470</v>
      </c>
      <c r="D17" s="138"/>
      <c r="E17" s="138"/>
      <c r="F17" s="138"/>
      <c r="G17" s="138"/>
      <c r="H17" s="138"/>
      <c r="I17" s="138"/>
      <c r="J17" s="138"/>
      <c r="L17" s="138" t="s">
        <v>447</v>
      </c>
      <c r="M17" s="138"/>
      <c r="N17" s="138"/>
      <c r="O17" s="138"/>
      <c r="P17" s="138"/>
      <c r="Q17" s="138"/>
    </row>
    <row r="18" spans="3:17" x14ac:dyDescent="0.2">
      <c r="C18" s="1"/>
      <c r="D18" s="1" t="s">
        <v>146</v>
      </c>
      <c r="E18" s="1" t="s">
        <v>297</v>
      </c>
      <c r="F18" s="1" t="s">
        <v>147</v>
      </c>
      <c r="G18" s="1" t="s">
        <v>298</v>
      </c>
      <c r="H18" s="1" t="s">
        <v>299</v>
      </c>
      <c r="I18" s="1" t="s">
        <v>300</v>
      </c>
      <c r="J18" s="1" t="s">
        <v>148</v>
      </c>
      <c r="L18" s="143" t="s">
        <v>306</v>
      </c>
      <c r="M18" s="143"/>
      <c r="N18" s="1" t="s">
        <v>296</v>
      </c>
      <c r="O18" s="1" t="s">
        <v>290</v>
      </c>
      <c r="P18" s="1" t="s">
        <v>237</v>
      </c>
      <c r="Q18" s="1" t="s">
        <v>58</v>
      </c>
    </row>
    <row r="19" spans="3:17" x14ac:dyDescent="0.2">
      <c r="C19" s="1" t="s">
        <v>156</v>
      </c>
      <c r="D19" s="1">
        <v>36.6</v>
      </c>
      <c r="E19" s="1">
        <v>4.3</v>
      </c>
      <c r="F19" s="36">
        <v>0.42942795604256501</v>
      </c>
      <c r="G19" s="34">
        <v>114.053162704757</v>
      </c>
      <c r="H19" s="57">
        <v>6.15782369281843E-4</v>
      </c>
      <c r="I19" s="34">
        <v>301.76856596623799</v>
      </c>
      <c r="J19" s="33">
        <v>2.0205636199133798</v>
      </c>
      <c r="K19" s="90"/>
      <c r="L19" s="144" t="s">
        <v>42</v>
      </c>
      <c r="M19" s="1" t="s">
        <v>37</v>
      </c>
      <c r="N19" s="35">
        <v>1.3</v>
      </c>
      <c r="O19" s="1">
        <v>70000</v>
      </c>
      <c r="P19" s="1" t="s">
        <v>295</v>
      </c>
      <c r="Q19" s="1" t="s">
        <v>305</v>
      </c>
    </row>
    <row r="20" spans="3:17" x14ac:dyDescent="0.2">
      <c r="C20" s="1" t="s">
        <v>164</v>
      </c>
      <c r="D20" s="1">
        <v>36.200000000000003</v>
      </c>
      <c r="E20" s="1">
        <v>4.3</v>
      </c>
      <c r="F20" s="36">
        <v>0.41673056401340902</v>
      </c>
      <c r="G20" s="34">
        <v>121.350937683312</v>
      </c>
      <c r="H20" s="57">
        <v>5.7966640231275999E-4</v>
      </c>
      <c r="I20" s="34">
        <v>133.861436552155</v>
      </c>
      <c r="J20" s="33">
        <v>2.08936807972476</v>
      </c>
      <c r="K20" s="90"/>
      <c r="L20" s="144"/>
      <c r="M20" s="1" t="s">
        <v>136</v>
      </c>
      <c r="N20" s="35">
        <v>1.6</v>
      </c>
      <c r="O20" s="1">
        <v>106000</v>
      </c>
      <c r="P20" s="1" t="s">
        <v>295</v>
      </c>
      <c r="Q20" s="1" t="s">
        <v>302</v>
      </c>
    </row>
    <row r="21" spans="3:17" x14ac:dyDescent="0.2">
      <c r="C21" s="1" t="s">
        <v>149</v>
      </c>
      <c r="D21" s="1">
        <v>34.799999999999997</v>
      </c>
      <c r="E21" s="1">
        <v>1.5960000000000001</v>
      </c>
      <c r="F21" s="36">
        <v>0.38976111635348498</v>
      </c>
      <c r="G21" s="34">
        <v>103.679231926127</v>
      </c>
      <c r="H21" s="57">
        <v>4.9345854677362204E-4</v>
      </c>
      <c r="I21" s="34">
        <v>337.11083256048101</v>
      </c>
      <c r="J21" s="33">
        <v>1.30206102718711</v>
      </c>
      <c r="K21" s="90"/>
      <c r="L21" s="144"/>
      <c r="M21" s="1" t="s">
        <v>57</v>
      </c>
      <c r="N21" s="35">
        <v>2.2999999999999998</v>
      </c>
      <c r="O21" s="1">
        <v>175000</v>
      </c>
      <c r="P21" s="1" t="s">
        <v>295</v>
      </c>
      <c r="Q21" s="1" t="s">
        <v>304</v>
      </c>
    </row>
    <row r="22" spans="3:17" x14ac:dyDescent="0.2">
      <c r="C22" s="1" t="s">
        <v>157</v>
      </c>
      <c r="D22" s="1">
        <v>34</v>
      </c>
      <c r="E22" s="1">
        <v>1.5960000000000001</v>
      </c>
      <c r="F22" s="36">
        <v>0.37896417115705799</v>
      </c>
      <c r="G22" s="34">
        <v>110.668642654534</v>
      </c>
      <c r="H22" s="57">
        <v>4.5356110629071099E-4</v>
      </c>
      <c r="I22" s="34">
        <v>289.50508941319401</v>
      </c>
      <c r="J22" s="33">
        <v>1.5974602811297101</v>
      </c>
      <c r="K22" s="90"/>
      <c r="L22" s="144" t="s">
        <v>53</v>
      </c>
      <c r="M22" s="1" t="s">
        <v>37</v>
      </c>
      <c r="N22" s="35">
        <v>1.6</v>
      </c>
      <c r="O22" s="1">
        <v>93000</v>
      </c>
      <c r="P22" s="1" t="s">
        <v>294</v>
      </c>
      <c r="Q22" s="1" t="s">
        <v>303</v>
      </c>
    </row>
    <row r="23" spans="3:17" x14ac:dyDescent="0.2">
      <c r="C23" s="1" t="s">
        <v>152</v>
      </c>
      <c r="D23" s="1">
        <v>36.200000000000003</v>
      </c>
      <c r="E23" s="1">
        <v>2.694</v>
      </c>
      <c r="F23" s="36">
        <v>0.39778963410937901</v>
      </c>
      <c r="G23" s="34">
        <v>88.061424548509606</v>
      </c>
      <c r="H23" s="57">
        <v>6.0724139552240195E-4</v>
      </c>
      <c r="I23" s="34">
        <v>190.15213283179199</v>
      </c>
      <c r="J23" s="33">
        <v>1.1269822303382799</v>
      </c>
      <c r="K23" s="90"/>
      <c r="L23" s="144"/>
      <c r="M23" s="1" t="s">
        <v>136</v>
      </c>
      <c r="N23" s="35">
        <v>2.8</v>
      </c>
      <c r="O23" s="1">
        <v>203000</v>
      </c>
      <c r="P23" s="1" t="s">
        <v>294</v>
      </c>
      <c r="Q23" s="1" t="s">
        <v>302</v>
      </c>
    </row>
    <row r="24" spans="3:17" x14ac:dyDescent="0.2">
      <c r="C24" s="1" t="s">
        <v>163</v>
      </c>
      <c r="D24" s="1">
        <v>35.799999999999997</v>
      </c>
      <c r="E24" s="1">
        <v>2.694</v>
      </c>
      <c r="F24" s="36">
        <v>0.401241324087593</v>
      </c>
      <c r="G24" s="34">
        <v>109.378556317825</v>
      </c>
      <c r="H24" s="57">
        <v>5.7686652043495998E-4</v>
      </c>
      <c r="I24" s="34">
        <v>179.559811530232</v>
      </c>
      <c r="J24" s="33">
        <v>2.7276153246521</v>
      </c>
      <c r="K24" s="90"/>
      <c r="L24" s="144"/>
      <c r="M24" s="1" t="s">
        <v>57</v>
      </c>
      <c r="N24" s="35">
        <v>3.3</v>
      </c>
      <c r="O24" s="1">
        <v>253000</v>
      </c>
      <c r="P24" s="1" t="s">
        <v>294</v>
      </c>
      <c r="Q24" s="1" t="s">
        <v>301</v>
      </c>
    </row>
    <row r="25" spans="3:17" x14ac:dyDescent="0.2">
      <c r="C25" s="1" t="s">
        <v>155</v>
      </c>
      <c r="D25" s="1">
        <v>37.6</v>
      </c>
      <c r="E25" s="1">
        <v>1.496</v>
      </c>
      <c r="F25" s="36">
        <v>0.44319444805429498</v>
      </c>
      <c r="G25" s="34">
        <v>160.08979064647301</v>
      </c>
      <c r="H25" s="57">
        <v>2.4243029902007099E-4</v>
      </c>
      <c r="I25" s="34">
        <v>132.96569915510401</v>
      </c>
      <c r="J25" s="33">
        <v>1.5194533103880199</v>
      </c>
      <c r="K25" s="90"/>
      <c r="L25" s="144" t="s">
        <v>311</v>
      </c>
      <c r="M25" s="1" t="s">
        <v>37</v>
      </c>
      <c r="N25" s="1">
        <v>0.8</v>
      </c>
      <c r="O25" s="1">
        <v>55000</v>
      </c>
      <c r="P25" s="89" t="s">
        <v>294</v>
      </c>
      <c r="Q25" s="1" t="s">
        <v>319</v>
      </c>
    </row>
    <row r="26" spans="3:17" x14ac:dyDescent="0.2">
      <c r="C26" s="1" t="s">
        <v>162</v>
      </c>
      <c r="D26" s="1">
        <v>37.299999999999997</v>
      </c>
      <c r="E26" s="1">
        <v>1.496</v>
      </c>
      <c r="F26" s="36">
        <v>0.42736089340764299</v>
      </c>
      <c r="G26" s="34">
        <v>145.39399318775901</v>
      </c>
      <c r="H26" s="57">
        <v>2.97810467143035E-4</v>
      </c>
      <c r="I26" s="34">
        <v>192.535989748806</v>
      </c>
      <c r="J26" s="33">
        <v>1.5853607569887</v>
      </c>
      <c r="K26" s="90"/>
      <c r="L26" s="144"/>
      <c r="M26" s="1" t="s">
        <v>39</v>
      </c>
      <c r="N26" s="1">
        <v>1</v>
      </c>
      <c r="O26" s="1">
        <v>88000</v>
      </c>
      <c r="P26" s="89" t="s">
        <v>313</v>
      </c>
      <c r="Q26" s="1" t="s">
        <v>314</v>
      </c>
    </row>
    <row r="27" spans="3:17" x14ac:dyDescent="0.2">
      <c r="C27" s="1" t="s">
        <v>150</v>
      </c>
      <c r="D27" s="1">
        <v>37.6</v>
      </c>
      <c r="E27" s="1">
        <v>2.488</v>
      </c>
      <c r="F27" s="36">
        <v>0.44759549701496498</v>
      </c>
      <c r="G27" s="34">
        <v>107.50365075129</v>
      </c>
      <c r="H27" s="57">
        <v>4.2657011039301502E-4</v>
      </c>
      <c r="I27" s="34">
        <v>443.07907982932198</v>
      </c>
      <c r="J27" s="33">
        <v>0.98683546712315495</v>
      </c>
      <c r="K27" s="90"/>
      <c r="L27" s="144"/>
      <c r="M27" s="1" t="s">
        <v>57</v>
      </c>
      <c r="N27" s="1">
        <v>1.5</v>
      </c>
      <c r="O27" s="1">
        <v>100000</v>
      </c>
      <c r="P27" s="89" t="s">
        <v>313</v>
      </c>
      <c r="Q27" s="1" t="s">
        <v>318</v>
      </c>
    </row>
    <row r="28" spans="3:17" x14ac:dyDescent="0.2">
      <c r="C28" s="1" t="s">
        <v>158</v>
      </c>
      <c r="D28" s="1">
        <v>37.5</v>
      </c>
      <c r="E28" s="1">
        <v>2.488</v>
      </c>
      <c r="F28" s="36">
        <v>0.438860032574519</v>
      </c>
      <c r="G28" s="34">
        <v>109.66062487454801</v>
      </c>
      <c r="H28" s="57">
        <v>4.25059405927166E-4</v>
      </c>
      <c r="I28" s="34">
        <v>426.63004259868899</v>
      </c>
      <c r="J28" s="33">
        <v>1.0163346445368899</v>
      </c>
      <c r="K28" s="90"/>
      <c r="L28" s="144" t="s">
        <v>312</v>
      </c>
      <c r="M28" s="1" t="s">
        <v>37</v>
      </c>
      <c r="N28" s="1">
        <v>2</v>
      </c>
      <c r="O28" s="1">
        <v>170000</v>
      </c>
      <c r="P28" s="89" t="s">
        <v>313</v>
      </c>
      <c r="Q28" s="1" t="s">
        <v>315</v>
      </c>
    </row>
    <row r="29" spans="3:17" x14ac:dyDescent="0.2">
      <c r="C29" s="1" t="s">
        <v>151</v>
      </c>
      <c r="D29" s="1">
        <v>37.4</v>
      </c>
      <c r="E29" s="1">
        <v>2.488</v>
      </c>
      <c r="F29" s="36">
        <v>0.43394215127212399</v>
      </c>
      <c r="G29" s="34">
        <v>97.598539018800594</v>
      </c>
      <c r="H29" s="57">
        <v>5.65557240018394E-4</v>
      </c>
      <c r="I29" s="34">
        <v>554.39033366159902</v>
      </c>
      <c r="J29" s="33">
        <v>1.25204331660998</v>
      </c>
      <c r="K29" s="90"/>
      <c r="L29" s="144"/>
      <c r="M29" s="1" t="s">
        <v>39</v>
      </c>
      <c r="N29" s="1">
        <v>3</v>
      </c>
      <c r="O29" s="1">
        <v>250000</v>
      </c>
      <c r="P29" s="89" t="s">
        <v>313</v>
      </c>
      <c r="Q29" s="1" t="s">
        <v>317</v>
      </c>
    </row>
    <row r="30" spans="3:17" x14ac:dyDescent="0.2">
      <c r="C30" s="1" t="s">
        <v>160</v>
      </c>
      <c r="D30" s="1">
        <v>37.200000000000003</v>
      </c>
      <c r="E30" s="1">
        <v>2.488</v>
      </c>
      <c r="F30" s="36">
        <v>0.42129514093785297</v>
      </c>
      <c r="G30" s="34">
        <v>107.56591895271499</v>
      </c>
      <c r="H30" s="57">
        <v>5.1845006668757598E-4</v>
      </c>
      <c r="I30" s="34">
        <v>300.47580079549698</v>
      </c>
      <c r="J30" s="33">
        <v>1.6317481539013401</v>
      </c>
      <c r="K30" s="90"/>
      <c r="L30" s="144"/>
      <c r="M30" s="1" t="s">
        <v>57</v>
      </c>
      <c r="N30" s="1">
        <v>5</v>
      </c>
      <c r="O30" s="1">
        <v>386000</v>
      </c>
      <c r="P30" s="89" t="s">
        <v>294</v>
      </c>
      <c r="Q30" s="1" t="s">
        <v>316</v>
      </c>
    </row>
    <row r="31" spans="3:17" x14ac:dyDescent="0.2">
      <c r="C31" s="1" t="s">
        <v>153</v>
      </c>
      <c r="D31" s="1">
        <v>37</v>
      </c>
      <c r="E31" s="1">
        <v>1.998</v>
      </c>
      <c r="F31" s="36">
        <v>0.45686584505052302</v>
      </c>
      <c r="G31" s="34">
        <v>111.14741635891301</v>
      </c>
      <c r="H31" s="57">
        <v>5.0812212903220502E-4</v>
      </c>
      <c r="I31" s="34">
        <v>556.11498724520004</v>
      </c>
      <c r="J31" s="33">
        <v>1.58324225150078</v>
      </c>
      <c r="K31" s="90"/>
      <c r="N31" s="87"/>
    </row>
    <row r="32" spans="3:17" x14ac:dyDescent="0.2">
      <c r="C32" s="1" t="s">
        <v>161</v>
      </c>
      <c r="D32" s="1">
        <v>37.6</v>
      </c>
      <c r="E32" s="1">
        <v>1.998</v>
      </c>
      <c r="F32" s="36">
        <v>0.47725612438006099</v>
      </c>
      <c r="G32" s="34">
        <v>110.935045866157</v>
      </c>
      <c r="H32" s="57">
        <v>5.3084527606825404E-4</v>
      </c>
      <c r="I32" s="34">
        <v>636.63915668695495</v>
      </c>
      <c r="J32" s="33">
        <v>1.8492583695628</v>
      </c>
      <c r="K32" s="90"/>
      <c r="N32" s="138" t="s">
        <v>448</v>
      </c>
      <c r="O32" s="138"/>
      <c r="P32" s="138"/>
      <c r="Q32" s="138"/>
    </row>
    <row r="33" spans="1:17" x14ac:dyDescent="0.2">
      <c r="C33" s="1" t="s">
        <v>154</v>
      </c>
      <c r="D33" s="1">
        <v>39.9</v>
      </c>
      <c r="E33" s="1">
        <v>2.4870000000000001</v>
      </c>
      <c r="F33" s="36">
        <v>0.47297381068960198</v>
      </c>
      <c r="G33" s="34">
        <v>115.44918339669501</v>
      </c>
      <c r="H33" s="57">
        <v>4.45653793979813E-4</v>
      </c>
      <c r="I33" s="34">
        <v>379.22140257152103</v>
      </c>
      <c r="J33" s="33">
        <v>1.3172545100645501</v>
      </c>
      <c r="K33" s="90"/>
      <c r="N33" s="1" t="s">
        <v>324</v>
      </c>
      <c r="O33" s="33" t="s">
        <v>322</v>
      </c>
      <c r="P33" s="1" t="s">
        <v>237</v>
      </c>
      <c r="Q33" s="1" t="s">
        <v>58</v>
      </c>
    </row>
    <row r="34" spans="1:17" x14ac:dyDescent="0.2">
      <c r="C34" s="1" t="s">
        <v>159</v>
      </c>
      <c r="D34" s="1">
        <v>39.1</v>
      </c>
      <c r="E34" s="1">
        <v>2.4870000000000001</v>
      </c>
      <c r="F34" s="36">
        <v>0.460822030219047</v>
      </c>
      <c r="G34" s="34">
        <v>110.243459817901</v>
      </c>
      <c r="H34" s="57">
        <v>4.6739697578732098E-4</v>
      </c>
      <c r="I34" s="34">
        <v>327.57775281517701</v>
      </c>
      <c r="J34" s="33">
        <v>1.2880135900276199</v>
      </c>
      <c r="K34" s="90"/>
      <c r="N34" s="1" t="s">
        <v>42</v>
      </c>
      <c r="O34" s="33">
        <v>0.3</v>
      </c>
      <c r="P34" s="1" t="s">
        <v>309</v>
      </c>
      <c r="Q34" s="1" t="s">
        <v>320</v>
      </c>
    </row>
    <row r="35" spans="1:17" x14ac:dyDescent="0.2">
      <c r="C35" s="1"/>
      <c r="D35" s="1"/>
      <c r="E35" s="1"/>
      <c r="F35" s="36"/>
      <c r="G35" s="34"/>
      <c r="H35" s="57"/>
      <c r="I35" s="34"/>
      <c r="J35" s="33"/>
      <c r="K35" s="90"/>
      <c r="N35" s="1" t="s">
        <v>53</v>
      </c>
      <c r="O35" s="33">
        <v>0.5</v>
      </c>
      <c r="P35" s="1" t="s">
        <v>294</v>
      </c>
      <c r="Q35" s="1" t="s">
        <v>321</v>
      </c>
    </row>
    <row r="36" spans="1:17" x14ac:dyDescent="0.2">
      <c r="C36" s="109" t="s">
        <v>136</v>
      </c>
      <c r="D36" s="6">
        <f>AVERAGE(D18:D34)</f>
        <v>36.987499999999997</v>
      </c>
      <c r="E36" s="6">
        <f>AVERAGE(E18:E34)</f>
        <v>2.4433749999999996</v>
      </c>
      <c r="F36" s="72">
        <f>AVERAGE(F18:F34)</f>
        <v>0.43088004621025755</v>
      </c>
      <c r="G36" s="110">
        <f t="shared" ref="G36:J36" si="0">AVERAGE(G18:G34)</f>
        <v>113.92372366914478</v>
      </c>
      <c r="H36" s="111">
        <f t="shared" si="0"/>
        <v>4.8465450654207169E-4</v>
      </c>
      <c r="I36" s="110">
        <f t="shared" si="0"/>
        <v>336.34925712262265</v>
      </c>
      <c r="J36" s="73">
        <f t="shared" si="0"/>
        <v>1.5558496833530739</v>
      </c>
    </row>
    <row r="37" spans="1:17" x14ac:dyDescent="0.2">
      <c r="C37" s="144" t="s">
        <v>54</v>
      </c>
      <c r="D37" s="1">
        <f t="shared" ref="D37:E37" si="1">MIN(D18:D34)</f>
        <v>34</v>
      </c>
      <c r="E37" s="1">
        <f t="shared" si="1"/>
        <v>1.496</v>
      </c>
      <c r="F37" s="36">
        <f>MIN(F18:F34)</f>
        <v>0.37896417115705799</v>
      </c>
      <c r="G37" s="34">
        <f t="shared" ref="G37:J37" si="2">MIN(G18:G34)</f>
        <v>88.061424548509606</v>
      </c>
      <c r="H37" s="57">
        <f t="shared" si="2"/>
        <v>2.4243029902007099E-4</v>
      </c>
      <c r="I37" s="34">
        <f t="shared" si="2"/>
        <v>132.96569915510401</v>
      </c>
      <c r="J37" s="33">
        <f t="shared" si="2"/>
        <v>0.98683546712315495</v>
      </c>
      <c r="K37" s="90"/>
      <c r="L37" s="87"/>
      <c r="N37" s="138" t="s">
        <v>449</v>
      </c>
      <c r="O37" s="138"/>
      <c r="P37" s="138"/>
      <c r="Q37" s="138"/>
    </row>
    <row r="38" spans="1:17" x14ac:dyDescent="0.2">
      <c r="C38" s="144"/>
      <c r="D38" s="1">
        <f t="shared" ref="D38:E38" si="3">MAX(D18:D34)</f>
        <v>39.9</v>
      </c>
      <c r="E38" s="1">
        <f t="shared" si="3"/>
        <v>4.3</v>
      </c>
      <c r="F38" s="36">
        <f>MAX(F18:F34)</f>
        <v>0.47725612438006099</v>
      </c>
      <c r="G38" s="34">
        <f t="shared" ref="G38:J38" si="4">MAX(G18:G34)</f>
        <v>160.08979064647301</v>
      </c>
      <c r="H38" s="57">
        <f t="shared" si="4"/>
        <v>6.15782369281843E-4</v>
      </c>
      <c r="I38" s="34">
        <f t="shared" si="4"/>
        <v>636.63915668695495</v>
      </c>
      <c r="J38" s="33">
        <f t="shared" si="4"/>
        <v>2.7276153246521</v>
      </c>
      <c r="N38" s="1" t="s">
        <v>324</v>
      </c>
      <c r="O38" s="33" t="s">
        <v>325</v>
      </c>
      <c r="P38" s="1" t="s">
        <v>237</v>
      </c>
      <c r="Q38" s="1" t="s">
        <v>58</v>
      </c>
    </row>
    <row r="39" spans="1:17" x14ac:dyDescent="0.2">
      <c r="N39" s="1" t="s">
        <v>323</v>
      </c>
      <c r="O39" s="57">
        <v>3.8100000000000002E-2</v>
      </c>
      <c r="P39" s="1" t="s">
        <v>326</v>
      </c>
      <c r="Q39" s="1" t="s">
        <v>327</v>
      </c>
    </row>
    <row r="40" spans="1:17" x14ac:dyDescent="0.2">
      <c r="O40" s="87">
        <f>O39*323</f>
        <v>12.3063</v>
      </c>
    </row>
    <row r="41" spans="1:17" x14ac:dyDescent="0.2">
      <c r="O41" s="90"/>
    </row>
    <row r="42" spans="1:17" x14ac:dyDescent="0.2">
      <c r="A42" s="127" t="s">
        <v>462</v>
      </c>
      <c r="B42" s="127"/>
      <c r="C42" s="127"/>
      <c r="D42" s="127"/>
      <c r="E42" s="127"/>
      <c r="F42" s="127"/>
      <c r="G42" s="127"/>
      <c r="H42" s="127"/>
      <c r="I42" s="127"/>
      <c r="J42" s="127"/>
      <c r="K42" s="127"/>
      <c r="L42" s="127"/>
      <c r="M42" s="127"/>
      <c r="N42" s="127"/>
      <c r="O42" s="127"/>
      <c r="P42" s="127"/>
      <c r="Q42" s="127"/>
    </row>
    <row r="43" spans="1:17" x14ac:dyDescent="0.2">
      <c r="O43" s="90"/>
    </row>
    <row r="44" spans="1:17" x14ac:dyDescent="0.2">
      <c r="C44" s="1"/>
      <c r="D44" s="135" t="s">
        <v>461</v>
      </c>
      <c r="E44" s="136"/>
      <c r="F44" s="136"/>
      <c r="G44" s="136"/>
      <c r="H44" s="136"/>
      <c r="I44" s="137"/>
      <c r="K44" s="138" t="s">
        <v>536</v>
      </c>
      <c r="L44" s="138"/>
      <c r="M44" s="138"/>
      <c r="N44" s="138"/>
      <c r="O44" s="138"/>
      <c r="P44" s="138"/>
    </row>
    <row r="45" spans="1:17" x14ac:dyDescent="0.2">
      <c r="C45" s="1"/>
      <c r="D45" s="1" t="s">
        <v>450</v>
      </c>
      <c r="E45" s="1" t="s">
        <v>451</v>
      </c>
      <c r="F45" s="1" t="s">
        <v>452</v>
      </c>
      <c r="G45" s="1" t="s">
        <v>453</v>
      </c>
      <c r="H45" s="1" t="s">
        <v>454</v>
      </c>
      <c r="I45" s="1" t="s">
        <v>455</v>
      </c>
      <c r="K45" s="1" t="s">
        <v>530</v>
      </c>
      <c r="L45" s="1" t="s">
        <v>531</v>
      </c>
      <c r="M45" s="1" t="s">
        <v>532</v>
      </c>
      <c r="N45" s="1" t="s">
        <v>533</v>
      </c>
      <c r="O45" s="1" t="s">
        <v>534</v>
      </c>
      <c r="P45" s="1" t="s">
        <v>535</v>
      </c>
    </row>
    <row r="46" spans="1:17" x14ac:dyDescent="0.2">
      <c r="C46" s="1" t="s">
        <v>208</v>
      </c>
      <c r="D46" s="1">
        <v>106000</v>
      </c>
      <c r="E46" s="1">
        <v>203000</v>
      </c>
      <c r="F46" s="1">
        <v>70000</v>
      </c>
      <c r="G46" s="1">
        <v>93000</v>
      </c>
      <c r="H46" s="1">
        <v>175000</v>
      </c>
      <c r="I46" s="1">
        <v>253000</v>
      </c>
      <c r="K46" s="1">
        <v>55000</v>
      </c>
      <c r="L46" s="1">
        <v>170000</v>
      </c>
      <c r="M46" s="1">
        <v>88000</v>
      </c>
      <c r="N46" s="1">
        <v>250000</v>
      </c>
      <c r="O46" s="1">
        <v>100000</v>
      </c>
      <c r="P46" s="1">
        <v>386000</v>
      </c>
    </row>
    <row r="47" spans="1:17" x14ac:dyDescent="0.2">
      <c r="C47" s="1" t="s">
        <v>456</v>
      </c>
      <c r="D47" s="1">
        <v>0.42699999999999999</v>
      </c>
      <c r="E47" s="1">
        <v>0.42699999999999999</v>
      </c>
      <c r="F47" s="1">
        <v>0.42699999999999999</v>
      </c>
      <c r="G47" s="1">
        <v>0.42699999999999999</v>
      </c>
      <c r="H47" s="1">
        <v>0.42699999999999999</v>
      </c>
      <c r="I47" s="1">
        <v>0.42699999999999999</v>
      </c>
      <c r="K47" s="1">
        <v>0.42699999999999999</v>
      </c>
      <c r="L47" s="1">
        <v>0.42699999999999999</v>
      </c>
      <c r="M47" s="1">
        <v>0.42699999999999999</v>
      </c>
      <c r="N47" s="1">
        <v>0.42699999999999999</v>
      </c>
      <c r="O47" s="1">
        <v>0.42699999999999999</v>
      </c>
      <c r="P47" s="1">
        <v>0.42699999999999999</v>
      </c>
    </row>
    <row r="48" spans="1:17" x14ac:dyDescent="0.2">
      <c r="C48" s="1" t="s">
        <v>457</v>
      </c>
      <c r="D48" s="1">
        <v>1.6</v>
      </c>
      <c r="E48" s="1">
        <v>2.8</v>
      </c>
      <c r="F48" s="1">
        <v>1.3</v>
      </c>
      <c r="G48" s="1">
        <v>1.6</v>
      </c>
      <c r="H48" s="1">
        <v>2.2999999999999998</v>
      </c>
      <c r="I48" s="1">
        <v>3.3</v>
      </c>
      <c r="K48" s="1">
        <v>0.8</v>
      </c>
      <c r="L48" s="1">
        <v>2</v>
      </c>
      <c r="M48" s="1">
        <v>1</v>
      </c>
      <c r="N48" s="1">
        <v>3</v>
      </c>
      <c r="O48" s="1">
        <v>1.5</v>
      </c>
      <c r="P48" s="1">
        <v>5</v>
      </c>
    </row>
    <row r="49" spans="1:17" x14ac:dyDescent="0.2">
      <c r="C49" s="1" t="s">
        <v>178</v>
      </c>
      <c r="D49" s="1">
        <v>114</v>
      </c>
      <c r="E49" s="1">
        <v>114</v>
      </c>
      <c r="F49" s="1">
        <v>114</v>
      </c>
      <c r="G49" s="1">
        <v>114</v>
      </c>
      <c r="H49" s="1">
        <v>114</v>
      </c>
      <c r="I49" s="1">
        <v>114</v>
      </c>
      <c r="K49" s="1">
        <v>114</v>
      </c>
      <c r="L49" s="1">
        <v>114</v>
      </c>
      <c r="M49" s="1">
        <v>114</v>
      </c>
      <c r="N49" s="1">
        <v>114</v>
      </c>
      <c r="O49" s="1">
        <v>114</v>
      </c>
      <c r="P49" s="1">
        <v>114</v>
      </c>
    </row>
    <row r="50" spans="1:17" x14ac:dyDescent="0.2">
      <c r="C50" s="1" t="s">
        <v>179</v>
      </c>
      <c r="D50" s="57">
        <v>4.8500000000000003E-4</v>
      </c>
      <c r="E50" s="57">
        <v>4.8500000000000003E-4</v>
      </c>
      <c r="F50" s="57">
        <v>4.8500000000000003E-4</v>
      </c>
      <c r="G50" s="57">
        <v>4.8500000000000003E-4</v>
      </c>
      <c r="H50" s="57">
        <v>4.8500000000000003E-4</v>
      </c>
      <c r="I50" s="57">
        <v>4.8500000000000003E-4</v>
      </c>
      <c r="K50" s="57">
        <v>4.8500000000000003E-4</v>
      </c>
      <c r="L50" s="57">
        <v>4.8500000000000003E-4</v>
      </c>
      <c r="M50" s="57">
        <v>4.8500000000000003E-4</v>
      </c>
      <c r="N50" s="57">
        <v>4.8500000000000003E-4</v>
      </c>
      <c r="O50" s="57">
        <v>4.8500000000000003E-4</v>
      </c>
      <c r="P50" s="57">
        <v>4.8500000000000003E-4</v>
      </c>
    </row>
    <row r="51" spans="1:17" x14ac:dyDescent="0.2">
      <c r="C51" s="1" t="s">
        <v>177</v>
      </c>
      <c r="D51" s="1">
        <v>336</v>
      </c>
      <c r="E51" s="1">
        <v>336</v>
      </c>
      <c r="F51" s="1">
        <v>336</v>
      </c>
      <c r="G51" s="1">
        <v>336</v>
      </c>
      <c r="H51" s="1">
        <v>336</v>
      </c>
      <c r="I51" s="1">
        <v>336</v>
      </c>
      <c r="K51" s="1">
        <v>336</v>
      </c>
      <c r="L51" s="1">
        <v>336</v>
      </c>
      <c r="M51" s="1">
        <v>336</v>
      </c>
      <c r="N51" s="1">
        <v>336</v>
      </c>
      <c r="O51" s="1">
        <v>336</v>
      </c>
      <c r="P51" s="1">
        <v>336</v>
      </c>
    </row>
    <row r="52" spans="1:17" x14ac:dyDescent="0.2">
      <c r="C52" s="1" t="s">
        <v>517</v>
      </c>
      <c r="D52" s="1">
        <v>670</v>
      </c>
      <c r="E52" s="1">
        <v>670</v>
      </c>
      <c r="F52" s="1">
        <v>670</v>
      </c>
      <c r="G52" s="1">
        <v>670</v>
      </c>
      <c r="H52" s="1">
        <v>670</v>
      </c>
      <c r="I52" s="1">
        <v>670</v>
      </c>
      <c r="K52" s="1">
        <v>670</v>
      </c>
      <c r="L52" s="1">
        <v>670</v>
      </c>
      <c r="M52" s="1">
        <v>670</v>
      </c>
      <c r="N52" s="1">
        <v>670</v>
      </c>
      <c r="O52" s="1">
        <v>670</v>
      </c>
      <c r="P52" s="1">
        <v>670</v>
      </c>
    </row>
    <row r="53" spans="1:17" x14ac:dyDescent="0.2">
      <c r="C53" s="1" t="s">
        <v>325</v>
      </c>
      <c r="D53" s="33">
        <v>12.3063</v>
      </c>
      <c r="E53" s="33">
        <v>12.3063</v>
      </c>
      <c r="F53" s="33">
        <v>12.3063</v>
      </c>
      <c r="G53" s="33">
        <v>12.3063</v>
      </c>
      <c r="H53" s="33">
        <v>12.3063</v>
      </c>
      <c r="I53" s="33">
        <v>12.3063</v>
      </c>
      <c r="K53" s="57">
        <v>12.3</v>
      </c>
      <c r="L53" s="57">
        <v>12.3</v>
      </c>
      <c r="M53" s="57">
        <v>12.3</v>
      </c>
      <c r="N53" s="57">
        <v>12.3</v>
      </c>
      <c r="O53" s="57">
        <v>12.3</v>
      </c>
      <c r="P53" s="57">
        <v>12.3</v>
      </c>
    </row>
    <row r="54" spans="1:17" x14ac:dyDescent="0.2">
      <c r="C54" s="1" t="s">
        <v>503</v>
      </c>
      <c r="D54" s="1">
        <v>0.3</v>
      </c>
      <c r="E54" s="1">
        <v>0.5</v>
      </c>
      <c r="F54" s="1">
        <v>0.3</v>
      </c>
      <c r="G54" s="1">
        <v>0.5</v>
      </c>
      <c r="H54" s="1">
        <v>0.3</v>
      </c>
      <c r="I54" s="1">
        <v>0.5</v>
      </c>
      <c r="K54" s="57">
        <v>0</v>
      </c>
      <c r="L54" s="57">
        <v>1</v>
      </c>
      <c r="M54" s="57">
        <v>0</v>
      </c>
      <c r="N54" s="57">
        <v>1</v>
      </c>
      <c r="O54" s="57">
        <v>0</v>
      </c>
      <c r="P54" s="57">
        <v>1</v>
      </c>
    </row>
    <row r="55" spans="1:17" x14ac:dyDescent="0.2">
      <c r="F55" s="90"/>
      <c r="G55" s="90"/>
      <c r="H55" s="90"/>
      <c r="I55" s="90"/>
      <c r="J55" s="90"/>
      <c r="K55" s="90"/>
    </row>
    <row r="56" spans="1:17" x14ac:dyDescent="0.2">
      <c r="A56" s="127" t="s">
        <v>463</v>
      </c>
      <c r="B56" s="127"/>
      <c r="C56" s="127"/>
      <c r="D56" s="127"/>
      <c r="E56" s="127"/>
      <c r="F56" s="127"/>
      <c r="G56" s="127"/>
      <c r="H56" s="127"/>
      <c r="I56" s="127"/>
      <c r="J56" s="127"/>
      <c r="K56" s="127"/>
      <c r="L56" s="127"/>
      <c r="M56" s="127"/>
      <c r="N56" s="127"/>
      <c r="O56" s="127"/>
      <c r="P56" s="127"/>
      <c r="Q56" s="127"/>
    </row>
    <row r="57" spans="1:17" x14ac:dyDescent="0.2">
      <c r="A57" s="143"/>
      <c r="B57" s="143"/>
    </row>
    <row r="58" spans="1:17" x14ac:dyDescent="0.2">
      <c r="A58" s="1" t="s">
        <v>170</v>
      </c>
      <c r="B58" s="1" t="s">
        <v>340</v>
      </c>
    </row>
    <row r="59" spans="1:17" x14ac:dyDescent="0.2">
      <c r="A59" s="1" t="s">
        <v>169</v>
      </c>
      <c r="B59" s="1" t="s">
        <v>341</v>
      </c>
    </row>
    <row r="60" spans="1:17" x14ac:dyDescent="0.2">
      <c r="A60" s="1" t="s">
        <v>186</v>
      </c>
      <c r="B60" s="1" t="s">
        <v>342</v>
      </c>
    </row>
    <row r="61" spans="1:17" x14ac:dyDescent="0.2">
      <c r="A61" s="1" t="s">
        <v>109</v>
      </c>
      <c r="B61" s="1" t="s">
        <v>343</v>
      </c>
    </row>
    <row r="62" spans="1:17" x14ac:dyDescent="0.2">
      <c r="A62" s="1" t="s">
        <v>212</v>
      </c>
      <c r="B62" s="1" t="s">
        <v>344</v>
      </c>
    </row>
    <row r="63" spans="1:17" x14ac:dyDescent="0.2">
      <c r="A63" s="1" t="s">
        <v>346</v>
      </c>
      <c r="B63" s="1" t="s">
        <v>345</v>
      </c>
    </row>
    <row r="64" spans="1:17" x14ac:dyDescent="0.2">
      <c r="A64" s="1" t="s">
        <v>192</v>
      </c>
      <c r="B64" s="1" t="s">
        <v>347</v>
      </c>
    </row>
    <row r="65" spans="1:4" x14ac:dyDescent="0.2">
      <c r="A65" s="1" t="s">
        <v>295</v>
      </c>
      <c r="B65" s="1" t="s">
        <v>348</v>
      </c>
    </row>
    <row r="66" spans="1:4" x14ac:dyDescent="0.2">
      <c r="A66" s="1" t="s">
        <v>294</v>
      </c>
      <c r="B66" s="1" t="s">
        <v>349</v>
      </c>
    </row>
    <row r="67" spans="1:4" x14ac:dyDescent="0.2">
      <c r="A67" s="1" t="s">
        <v>309</v>
      </c>
      <c r="B67" s="1"/>
    </row>
    <row r="72" spans="1:4" x14ac:dyDescent="0.2">
      <c r="D72" s="12"/>
    </row>
  </sheetData>
  <mergeCells count="18">
    <mergeCell ref="A42:Q42"/>
    <mergeCell ref="A15:Q15"/>
    <mergeCell ref="A1:Q1"/>
    <mergeCell ref="A57:B57"/>
    <mergeCell ref="C3:N3"/>
    <mergeCell ref="L25:L27"/>
    <mergeCell ref="L28:L30"/>
    <mergeCell ref="N32:Q32"/>
    <mergeCell ref="N37:Q37"/>
    <mergeCell ref="C37:C38"/>
    <mergeCell ref="C17:J17"/>
    <mergeCell ref="L19:L21"/>
    <mergeCell ref="L22:L24"/>
    <mergeCell ref="L18:M18"/>
    <mergeCell ref="L17:Q17"/>
    <mergeCell ref="A56:Q56"/>
    <mergeCell ref="D44:I44"/>
    <mergeCell ref="K44:P4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BC334-6DF5-8441-A9C3-33F08B7924F1}">
  <dimension ref="A1:R46"/>
  <sheetViews>
    <sheetView topLeftCell="A19" zoomScale="110" zoomScaleNormal="110" workbookViewId="0">
      <selection activeCell="B13" sqref="B13"/>
    </sheetView>
  </sheetViews>
  <sheetFormatPr baseColWidth="10" defaultRowHeight="16" x14ac:dyDescent="0.2"/>
  <cols>
    <col min="3" max="3" width="21.83203125" customWidth="1"/>
    <col min="4" max="4" width="14.33203125" customWidth="1"/>
    <col min="6" max="7" width="13" customWidth="1"/>
    <col min="8" max="8" width="13.83203125" customWidth="1"/>
    <col min="11" max="11" width="25.83203125" customWidth="1"/>
  </cols>
  <sheetData>
    <row r="1" spans="3:18" x14ac:dyDescent="0.2">
      <c r="C1" s="127" t="s">
        <v>458</v>
      </c>
      <c r="D1" s="127"/>
      <c r="E1" s="127"/>
      <c r="F1" s="127"/>
      <c r="G1" s="127"/>
      <c r="H1" s="127"/>
      <c r="I1" s="127"/>
      <c r="J1" s="127"/>
      <c r="K1" s="127"/>
      <c r="L1" s="127"/>
      <c r="M1" s="127"/>
      <c r="N1" s="127"/>
      <c r="O1" s="127"/>
      <c r="P1" s="127"/>
      <c r="Q1" s="127"/>
    </row>
    <row r="3" spans="3:18" x14ac:dyDescent="0.2">
      <c r="C3" s="138" t="s">
        <v>207</v>
      </c>
      <c r="D3" s="138"/>
      <c r="E3" s="138"/>
      <c r="F3" s="138"/>
      <c r="G3" s="138"/>
      <c r="H3" s="138"/>
      <c r="I3" s="138"/>
      <c r="J3" s="138"/>
    </row>
    <row r="4" spans="3:18" x14ac:dyDescent="0.2">
      <c r="C4" s="1" t="s">
        <v>102</v>
      </c>
      <c r="D4" s="1" t="s">
        <v>364</v>
      </c>
      <c r="E4" s="1" t="s">
        <v>108</v>
      </c>
      <c r="F4" s="1" t="s">
        <v>353</v>
      </c>
      <c r="G4" s="1" t="s">
        <v>109</v>
      </c>
      <c r="H4" s="1" t="s">
        <v>111</v>
      </c>
      <c r="I4" s="89" t="s">
        <v>219</v>
      </c>
      <c r="J4" s="23" t="s">
        <v>54</v>
      </c>
    </row>
    <row r="5" spans="3:18" x14ac:dyDescent="0.2">
      <c r="C5" s="1" t="s">
        <v>185</v>
      </c>
      <c r="D5" s="1"/>
      <c r="E5" s="1"/>
      <c r="F5" s="1"/>
      <c r="G5" s="1">
        <v>0.94</v>
      </c>
      <c r="H5" s="1"/>
      <c r="I5" s="1"/>
      <c r="J5" s="23">
        <v>0.94</v>
      </c>
    </row>
    <row r="6" spans="3:18" x14ac:dyDescent="0.2">
      <c r="C6" s="1" t="s">
        <v>184</v>
      </c>
      <c r="D6" s="144" t="s">
        <v>105</v>
      </c>
      <c r="E6" s="1">
        <v>0.9</v>
      </c>
      <c r="F6" s="1">
        <v>0.86</v>
      </c>
      <c r="G6" s="14" t="s">
        <v>110</v>
      </c>
      <c r="H6" s="13" t="s">
        <v>110</v>
      </c>
      <c r="I6" s="1"/>
      <c r="J6" s="23" t="s">
        <v>200</v>
      </c>
    </row>
    <row r="7" spans="3:18" x14ac:dyDescent="0.2">
      <c r="C7" s="1" t="s">
        <v>103</v>
      </c>
      <c r="D7" s="144"/>
      <c r="E7" s="1" t="s">
        <v>107</v>
      </c>
      <c r="F7" s="1">
        <v>0.98</v>
      </c>
      <c r="G7" s="14" t="s">
        <v>328</v>
      </c>
      <c r="H7" s="1" t="s">
        <v>112</v>
      </c>
      <c r="I7" s="1">
        <v>0.97</v>
      </c>
      <c r="J7" s="23" t="s">
        <v>201</v>
      </c>
    </row>
    <row r="8" spans="3:18" x14ac:dyDescent="0.2">
      <c r="C8" s="1" t="s">
        <v>106</v>
      </c>
      <c r="D8" s="1"/>
      <c r="E8" s="1">
        <v>0.85</v>
      </c>
      <c r="F8" s="40">
        <v>0.05</v>
      </c>
      <c r="G8" s="1"/>
      <c r="H8" s="1">
        <v>0.73</v>
      </c>
      <c r="I8" s="1"/>
      <c r="J8" s="23" t="s">
        <v>202</v>
      </c>
    </row>
    <row r="9" spans="3:18" x14ac:dyDescent="0.2">
      <c r="C9" s="1" t="s">
        <v>203</v>
      </c>
      <c r="D9" s="1">
        <v>0.9</v>
      </c>
      <c r="E9" s="1">
        <v>0.95</v>
      </c>
      <c r="F9" s="1">
        <v>0.9</v>
      </c>
      <c r="G9" s="1"/>
      <c r="H9" s="1">
        <v>0.88</v>
      </c>
      <c r="I9" s="1">
        <v>0.95</v>
      </c>
      <c r="J9" s="23" t="s">
        <v>107</v>
      </c>
    </row>
    <row r="10" spans="3:18" x14ac:dyDescent="0.2">
      <c r="C10" s="1" t="s">
        <v>204</v>
      </c>
      <c r="D10" s="1">
        <v>0.9</v>
      </c>
      <c r="E10" s="1">
        <v>0.95</v>
      </c>
      <c r="F10" s="1">
        <v>0.9</v>
      </c>
      <c r="G10" s="1"/>
      <c r="H10" s="1">
        <v>0.88</v>
      </c>
      <c r="I10" s="1">
        <v>0.8</v>
      </c>
      <c r="J10" s="23" t="s">
        <v>221</v>
      </c>
    </row>
    <row r="11" spans="3:18" x14ac:dyDescent="0.2">
      <c r="C11" s="1" t="s">
        <v>220</v>
      </c>
      <c r="D11" s="1"/>
      <c r="E11" s="1"/>
      <c r="F11" s="1"/>
      <c r="G11" s="1"/>
      <c r="H11" s="1"/>
      <c r="I11" s="1"/>
      <c r="J11" s="1"/>
    </row>
    <row r="13" spans="3:18" x14ac:dyDescent="0.2">
      <c r="C13" s="127" t="s">
        <v>459</v>
      </c>
      <c r="D13" s="127"/>
      <c r="E13" s="127"/>
      <c r="F13" s="127"/>
      <c r="G13" s="127"/>
      <c r="H13" s="127"/>
      <c r="I13" s="127"/>
      <c r="J13" s="127"/>
      <c r="K13" s="127"/>
      <c r="L13" s="127"/>
      <c r="M13" s="127"/>
      <c r="N13" s="127"/>
      <c r="O13" s="127"/>
      <c r="P13" s="127"/>
      <c r="Q13" s="127"/>
    </row>
    <row r="15" spans="3:18" x14ac:dyDescent="0.2">
      <c r="C15" s="138" t="s">
        <v>469</v>
      </c>
      <c r="D15" s="138"/>
      <c r="E15" s="138"/>
      <c r="F15" s="138"/>
      <c r="G15" s="138"/>
      <c r="H15" s="138"/>
      <c r="I15" s="138"/>
      <c r="J15" s="138"/>
      <c r="M15" s="138" t="s">
        <v>467</v>
      </c>
      <c r="N15" s="138"/>
      <c r="O15" s="138"/>
      <c r="P15" s="138"/>
      <c r="Q15" s="138"/>
      <c r="R15" s="138"/>
    </row>
    <row r="16" spans="3:18" x14ac:dyDescent="0.2">
      <c r="C16" s="1" t="s">
        <v>206</v>
      </c>
      <c r="D16" s="1" t="s">
        <v>146</v>
      </c>
      <c r="E16" s="84" t="s">
        <v>208</v>
      </c>
      <c r="F16" s="1" t="s">
        <v>147</v>
      </c>
      <c r="G16" s="1" t="s">
        <v>209</v>
      </c>
      <c r="H16" s="1" t="s">
        <v>210</v>
      </c>
      <c r="I16" s="1" t="s">
        <v>211</v>
      </c>
      <c r="J16" s="1" t="s">
        <v>148</v>
      </c>
      <c r="M16" s="143" t="s">
        <v>306</v>
      </c>
      <c r="N16" s="143"/>
      <c r="O16" s="1" t="s">
        <v>290</v>
      </c>
      <c r="P16" s="1" t="s">
        <v>332</v>
      </c>
      <c r="Q16" s="1" t="s">
        <v>237</v>
      </c>
      <c r="R16" s="1" t="s">
        <v>58</v>
      </c>
    </row>
    <row r="17" spans="3:18" x14ac:dyDescent="0.2">
      <c r="C17" s="1" t="s">
        <v>156</v>
      </c>
      <c r="D17" s="1">
        <v>95.6</v>
      </c>
      <c r="E17" s="1">
        <v>159680</v>
      </c>
      <c r="F17" s="36">
        <v>0.99041153119087</v>
      </c>
      <c r="G17" s="35">
        <v>2.85997234738845</v>
      </c>
      <c r="H17" s="33">
        <v>8.5889334247821497E-2</v>
      </c>
      <c r="I17" s="34">
        <v>39.0652241668176</v>
      </c>
      <c r="J17" s="33">
        <v>1.1536492767831601</v>
      </c>
      <c r="M17" s="101" t="s">
        <v>42</v>
      </c>
      <c r="N17" s="1" t="s">
        <v>136</v>
      </c>
      <c r="O17" s="1">
        <v>169000</v>
      </c>
      <c r="P17" s="1">
        <v>360</v>
      </c>
      <c r="Q17" s="1" t="s">
        <v>313</v>
      </c>
      <c r="R17" s="1" t="s">
        <v>337</v>
      </c>
    </row>
    <row r="18" spans="3:18" x14ac:dyDescent="0.2">
      <c r="C18" s="1" t="s">
        <v>154</v>
      </c>
      <c r="D18" s="1">
        <v>95.6</v>
      </c>
      <c r="E18" s="1">
        <v>64269.999999999898</v>
      </c>
      <c r="F18" s="36">
        <v>0.98206885674706601</v>
      </c>
      <c r="G18" s="35">
        <v>0.82685058017564494</v>
      </c>
      <c r="H18" s="33">
        <v>0.18703710464956999</v>
      </c>
      <c r="I18" s="34">
        <v>327.03793023256202</v>
      </c>
      <c r="J18" s="33">
        <v>1.0944653224819501</v>
      </c>
      <c r="M18" s="101" t="s">
        <v>53</v>
      </c>
      <c r="N18" s="1" t="s">
        <v>136</v>
      </c>
      <c r="O18" s="1">
        <v>190000</v>
      </c>
      <c r="P18" s="1">
        <v>400</v>
      </c>
      <c r="Q18" s="1" t="s">
        <v>333</v>
      </c>
      <c r="R18" s="1"/>
    </row>
    <row r="19" spans="3:18" x14ac:dyDescent="0.2">
      <c r="C19" s="1" t="s">
        <v>155</v>
      </c>
      <c r="D19" s="1">
        <v>93.3</v>
      </c>
      <c r="E19" s="1">
        <v>37510</v>
      </c>
      <c r="F19" s="36">
        <v>0.96557507602469606</v>
      </c>
      <c r="G19" s="35">
        <v>2.0909882244873201</v>
      </c>
      <c r="H19" s="33">
        <v>7.6715997983197295E-2</v>
      </c>
      <c r="I19" s="34">
        <v>151.020489400928</v>
      </c>
      <c r="J19" s="33">
        <v>0.99952822980969003</v>
      </c>
      <c r="M19" s="144" t="s">
        <v>329</v>
      </c>
      <c r="N19" s="1" t="s">
        <v>330</v>
      </c>
      <c r="O19" s="1">
        <v>33000</v>
      </c>
      <c r="P19" s="1">
        <v>125</v>
      </c>
      <c r="Q19" s="1" t="s">
        <v>313</v>
      </c>
      <c r="R19" s="1" t="s">
        <v>537</v>
      </c>
    </row>
    <row r="20" spans="3:18" x14ac:dyDescent="0.2">
      <c r="C20" s="1" t="s">
        <v>162</v>
      </c>
      <c r="D20" s="1">
        <v>87.2</v>
      </c>
      <c r="E20" s="1">
        <v>26030</v>
      </c>
      <c r="F20" s="36">
        <v>0.98202526689449399</v>
      </c>
      <c r="G20" s="35">
        <v>4.77051657150521</v>
      </c>
      <c r="H20" s="33">
        <v>0.28451614603015601</v>
      </c>
      <c r="I20" s="34">
        <v>30.7552460167365</v>
      </c>
      <c r="J20" s="33">
        <v>1.38669556861666</v>
      </c>
      <c r="M20" s="144"/>
      <c r="N20" s="1" t="s">
        <v>37</v>
      </c>
      <c r="O20" s="1">
        <v>60000</v>
      </c>
      <c r="P20" s="1">
        <v>160</v>
      </c>
      <c r="Q20" s="1" t="s">
        <v>313</v>
      </c>
      <c r="R20" s="1" t="s">
        <v>334</v>
      </c>
    </row>
    <row r="21" spans="3:18" x14ac:dyDescent="0.2">
      <c r="C21" s="1" t="s">
        <v>205</v>
      </c>
      <c r="D21" s="1">
        <v>94.7</v>
      </c>
      <c r="E21" s="1">
        <v>153410</v>
      </c>
      <c r="F21" s="36">
        <v>0.96719693654863004</v>
      </c>
      <c r="G21" s="35">
        <v>1.4935404504252601</v>
      </c>
      <c r="H21" s="33">
        <v>9.1927444655532306E-2</v>
      </c>
      <c r="I21" s="34">
        <v>44.148211412444702</v>
      </c>
      <c r="J21" s="33">
        <v>1.4565202887641899</v>
      </c>
      <c r="M21" s="144"/>
      <c r="N21" s="1" t="s">
        <v>57</v>
      </c>
      <c r="O21" s="1">
        <v>300000</v>
      </c>
      <c r="P21" s="1">
        <v>664</v>
      </c>
      <c r="Q21" s="1" t="s">
        <v>313</v>
      </c>
      <c r="R21" s="1" t="s">
        <v>335</v>
      </c>
    </row>
    <row r="22" spans="3:18" x14ac:dyDescent="0.2">
      <c r="C22" s="6" t="s">
        <v>136</v>
      </c>
      <c r="D22" s="74">
        <f t="shared" ref="D22:J22" si="0">AVERAGE(D17:D21)</f>
        <v>93.28</v>
      </c>
      <c r="E22" s="6">
        <f t="shared" si="0"/>
        <v>88179.999999999971</v>
      </c>
      <c r="F22" s="72">
        <f t="shared" si="0"/>
        <v>0.97745553348115133</v>
      </c>
      <c r="G22" s="74">
        <f t="shared" si="0"/>
        <v>2.4083736347963773</v>
      </c>
      <c r="H22" s="73">
        <f t="shared" si="0"/>
        <v>0.1452172055132554</v>
      </c>
      <c r="I22" s="110">
        <f t="shared" si="0"/>
        <v>118.40542024589774</v>
      </c>
      <c r="J22" s="73">
        <f t="shared" si="0"/>
        <v>1.2181717372911298</v>
      </c>
      <c r="M22" s="144"/>
      <c r="N22" s="1" t="s">
        <v>331</v>
      </c>
      <c r="O22" s="1">
        <v>760000</v>
      </c>
      <c r="P22" s="1">
        <v>1410</v>
      </c>
      <c r="Q22" s="1" t="s">
        <v>313</v>
      </c>
      <c r="R22" s="1" t="s">
        <v>336</v>
      </c>
    </row>
    <row r="23" spans="3:18" x14ac:dyDescent="0.2">
      <c r="D23" s="85"/>
      <c r="F23" s="86"/>
      <c r="G23" s="85"/>
      <c r="H23" s="87"/>
      <c r="I23" s="88"/>
      <c r="J23" s="87"/>
      <c r="M23" s="104"/>
    </row>
    <row r="24" spans="3:18" x14ac:dyDescent="0.2">
      <c r="D24" s="85"/>
      <c r="F24" s="86"/>
      <c r="G24" s="85"/>
      <c r="H24" s="87"/>
      <c r="I24" s="88"/>
      <c r="J24" s="87"/>
    </row>
    <row r="25" spans="3:18" x14ac:dyDescent="0.2">
      <c r="C25" s="127" t="s">
        <v>462</v>
      </c>
      <c r="D25" s="127"/>
      <c r="E25" s="127"/>
      <c r="F25" s="127"/>
      <c r="G25" s="127"/>
      <c r="H25" s="127"/>
      <c r="I25" s="127"/>
      <c r="J25" s="127"/>
      <c r="K25" s="127"/>
      <c r="L25" s="127"/>
      <c r="M25" s="127"/>
      <c r="N25" s="127"/>
      <c r="O25" s="127"/>
      <c r="P25" s="127"/>
      <c r="Q25" s="127"/>
    </row>
    <row r="26" spans="3:18" x14ac:dyDescent="0.2">
      <c r="D26" s="85"/>
      <c r="F26" s="86"/>
      <c r="G26" s="85"/>
      <c r="H26" s="87"/>
      <c r="I26" s="88"/>
      <c r="J26" s="87"/>
    </row>
    <row r="27" spans="3:18" x14ac:dyDescent="0.2">
      <c r="C27" s="138" t="s">
        <v>468</v>
      </c>
      <c r="D27" s="138"/>
      <c r="E27" s="138"/>
      <c r="F27" s="138"/>
      <c r="G27" s="138"/>
      <c r="H27" s="138"/>
      <c r="I27" s="138"/>
      <c r="J27" s="87"/>
    </row>
    <row r="28" spans="3:18" x14ac:dyDescent="0.2">
      <c r="C28" s="1"/>
      <c r="D28" s="1" t="s">
        <v>450</v>
      </c>
      <c r="E28" s="1" t="s">
        <v>451</v>
      </c>
      <c r="F28" s="1" t="s">
        <v>465</v>
      </c>
      <c r="G28" s="1" t="s">
        <v>37</v>
      </c>
      <c r="H28" s="1" t="s">
        <v>57</v>
      </c>
      <c r="I28" s="1" t="s">
        <v>466</v>
      </c>
      <c r="J28" s="87"/>
    </row>
    <row r="29" spans="3:18" x14ac:dyDescent="0.2">
      <c r="C29" s="1" t="s">
        <v>208</v>
      </c>
      <c r="D29" s="1">
        <v>169000</v>
      </c>
      <c r="E29" s="1">
        <v>190000</v>
      </c>
      <c r="F29" s="1">
        <v>13000</v>
      </c>
      <c r="G29" s="1">
        <v>60000</v>
      </c>
      <c r="H29" s="1">
        <v>300000</v>
      </c>
      <c r="I29" s="1">
        <v>760000</v>
      </c>
      <c r="J29" s="87"/>
    </row>
    <row r="30" spans="3:18" x14ac:dyDescent="0.2">
      <c r="C30" s="1" t="s">
        <v>522</v>
      </c>
      <c r="D30" s="1">
        <v>360</v>
      </c>
      <c r="E30" s="1">
        <v>400</v>
      </c>
      <c r="F30" s="1">
        <v>57</v>
      </c>
      <c r="G30" s="1">
        <v>160</v>
      </c>
      <c r="H30" s="1">
        <v>664</v>
      </c>
      <c r="I30" s="1">
        <v>1410</v>
      </c>
      <c r="J30" s="87"/>
    </row>
    <row r="31" spans="3:18" x14ac:dyDescent="0.2">
      <c r="C31" s="1" t="s">
        <v>501</v>
      </c>
      <c r="D31" s="1">
        <v>0.97699999999999998</v>
      </c>
      <c r="E31" s="1">
        <v>0.97699999999999998</v>
      </c>
      <c r="F31" s="1">
        <v>0.97699999999999998</v>
      </c>
      <c r="G31" s="1">
        <v>0.97699999999999998</v>
      </c>
      <c r="H31" s="1">
        <v>0.97699999999999998</v>
      </c>
      <c r="I31" s="1">
        <v>0.97699999999999998</v>
      </c>
      <c r="J31" s="87"/>
    </row>
    <row r="32" spans="3:18" x14ac:dyDescent="0.2">
      <c r="C32" s="1" t="s">
        <v>521</v>
      </c>
      <c r="D32" s="1">
        <v>2.41</v>
      </c>
      <c r="E32" s="1">
        <v>2.41</v>
      </c>
      <c r="F32" s="1">
        <v>2.41</v>
      </c>
      <c r="G32" s="1">
        <v>2.41</v>
      </c>
      <c r="H32" s="1">
        <v>2.41</v>
      </c>
      <c r="I32" s="1">
        <v>2.41</v>
      </c>
      <c r="J32" s="87"/>
    </row>
    <row r="33" spans="1:17" x14ac:dyDescent="0.2">
      <c r="C33" s="1" t="s">
        <v>560</v>
      </c>
      <c r="D33" s="1">
        <v>0.14499999999999999</v>
      </c>
      <c r="E33" s="1">
        <v>0.14499999999999999</v>
      </c>
      <c r="F33" s="1">
        <v>0.14499999999999999</v>
      </c>
      <c r="G33" s="1">
        <v>0.14499999999999999</v>
      </c>
      <c r="H33" s="1">
        <v>0.14499999999999999</v>
      </c>
      <c r="I33" s="1">
        <v>0.14499999999999999</v>
      </c>
      <c r="J33" s="87"/>
    </row>
    <row r="34" spans="1:17" x14ac:dyDescent="0.2">
      <c r="C34" s="1" t="s">
        <v>211</v>
      </c>
      <c r="D34" s="1">
        <v>118</v>
      </c>
      <c r="E34" s="1">
        <v>118</v>
      </c>
      <c r="F34" s="1">
        <v>118</v>
      </c>
      <c r="G34" s="1">
        <v>118</v>
      </c>
      <c r="H34" s="1">
        <v>118</v>
      </c>
      <c r="I34" s="1">
        <v>118</v>
      </c>
      <c r="J34" s="87"/>
    </row>
    <row r="35" spans="1:17" x14ac:dyDescent="0.2">
      <c r="C35" s="1" t="s">
        <v>502</v>
      </c>
      <c r="D35" s="1">
        <v>300</v>
      </c>
      <c r="E35" s="1">
        <v>300</v>
      </c>
      <c r="F35" s="1">
        <v>0</v>
      </c>
      <c r="G35" s="1">
        <v>150</v>
      </c>
      <c r="H35" s="1">
        <v>400</v>
      </c>
      <c r="I35" s="1">
        <v>500</v>
      </c>
      <c r="J35" s="87"/>
    </row>
    <row r="37" spans="1:17" x14ac:dyDescent="0.2">
      <c r="C37" s="127" t="s">
        <v>463</v>
      </c>
      <c r="D37" s="127"/>
      <c r="E37" s="127"/>
      <c r="F37" s="127"/>
      <c r="G37" s="127"/>
      <c r="H37" s="127"/>
      <c r="I37" s="127"/>
      <c r="J37" s="127"/>
      <c r="K37" s="127"/>
      <c r="L37" s="127"/>
      <c r="M37" s="127"/>
      <c r="N37" s="127"/>
      <c r="O37" s="127"/>
      <c r="P37" s="127"/>
      <c r="Q37" s="127"/>
    </row>
    <row r="38" spans="1:17" x14ac:dyDescent="0.2">
      <c r="A38" s="13"/>
      <c r="B38" s="13"/>
    </row>
    <row r="39" spans="1:17" x14ac:dyDescent="0.2">
      <c r="A39" s="1" t="s">
        <v>364</v>
      </c>
      <c r="B39" s="1" t="s">
        <v>350</v>
      </c>
    </row>
    <row r="40" spans="1:17" x14ac:dyDescent="0.2">
      <c r="A40" s="1" t="s">
        <v>108</v>
      </c>
      <c r="B40" s="1" t="s">
        <v>351</v>
      </c>
    </row>
    <row r="41" spans="1:17" x14ac:dyDescent="0.2">
      <c r="A41" s="1" t="s">
        <v>353</v>
      </c>
      <c r="B41" s="1" t="s">
        <v>352</v>
      </c>
    </row>
    <row r="42" spans="1:17" x14ac:dyDescent="0.2">
      <c r="A42" s="1" t="s">
        <v>109</v>
      </c>
      <c r="B42" s="1" t="s">
        <v>343</v>
      </c>
    </row>
    <row r="43" spans="1:17" x14ac:dyDescent="0.2">
      <c r="A43" s="1" t="s">
        <v>111</v>
      </c>
      <c r="B43" s="1" t="s">
        <v>354</v>
      </c>
    </row>
    <row r="44" spans="1:17" x14ac:dyDescent="0.2">
      <c r="A44" s="1" t="s">
        <v>219</v>
      </c>
      <c r="B44" s="1" t="s">
        <v>355</v>
      </c>
    </row>
    <row r="45" spans="1:17" x14ac:dyDescent="0.2">
      <c r="A45" s="1" t="s">
        <v>313</v>
      </c>
      <c r="B45" s="1" t="s">
        <v>366</v>
      </c>
    </row>
    <row r="46" spans="1:17" x14ac:dyDescent="0.2">
      <c r="A46" s="1" t="s">
        <v>333</v>
      </c>
      <c r="B46" s="1" t="s">
        <v>367</v>
      </c>
    </row>
  </sheetData>
  <mergeCells count="11">
    <mergeCell ref="C37:Q37"/>
    <mergeCell ref="C1:Q1"/>
    <mergeCell ref="C13:Q13"/>
    <mergeCell ref="C25:Q25"/>
    <mergeCell ref="C27:I27"/>
    <mergeCell ref="D6:D7"/>
    <mergeCell ref="C3:J3"/>
    <mergeCell ref="M15:R15"/>
    <mergeCell ref="M16:N16"/>
    <mergeCell ref="M19:M22"/>
    <mergeCell ref="C15:J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4F996-D88A-6147-85A1-787DDC222248}">
  <dimension ref="A2:Q17"/>
  <sheetViews>
    <sheetView workbookViewId="0">
      <selection activeCell="G24" sqref="G24"/>
    </sheetView>
  </sheetViews>
  <sheetFormatPr baseColWidth="10" defaultRowHeight="16" x14ac:dyDescent="0.2"/>
  <cols>
    <col min="3" max="3" width="21.83203125" customWidth="1"/>
    <col min="4" max="4" width="12.33203125" customWidth="1"/>
    <col min="7" max="7" width="25.83203125" customWidth="1"/>
  </cols>
  <sheetData>
    <row r="2" spans="1:17" x14ac:dyDescent="0.2">
      <c r="C2" s="127" t="s">
        <v>462</v>
      </c>
      <c r="D2" s="127"/>
      <c r="E2" s="127"/>
      <c r="F2" s="127"/>
      <c r="G2" s="127"/>
      <c r="H2" s="127"/>
      <c r="I2" s="127"/>
      <c r="J2" s="127"/>
      <c r="K2" s="127"/>
      <c r="L2" s="127"/>
      <c r="M2" s="127"/>
      <c r="N2" s="127"/>
      <c r="O2" s="127"/>
      <c r="P2" s="127"/>
      <c r="Q2" s="127"/>
    </row>
    <row r="4" spans="1:17" x14ac:dyDescent="0.2">
      <c r="C4" s="138" t="s">
        <v>445</v>
      </c>
      <c r="D4" s="138"/>
      <c r="E4" s="138"/>
      <c r="F4" s="138"/>
      <c r="G4" s="138"/>
    </row>
    <row r="5" spans="1:17" x14ac:dyDescent="0.2">
      <c r="C5" s="1" t="s">
        <v>291</v>
      </c>
      <c r="D5" s="1" t="s">
        <v>311</v>
      </c>
      <c r="E5" s="1" t="s">
        <v>136</v>
      </c>
      <c r="F5" s="1" t="s">
        <v>338</v>
      </c>
      <c r="G5" s="1" t="s">
        <v>55</v>
      </c>
      <c r="H5" s="1" t="s">
        <v>58</v>
      </c>
    </row>
    <row r="6" spans="1:17" x14ac:dyDescent="0.2">
      <c r="C6" s="1" t="s">
        <v>497</v>
      </c>
      <c r="D6" s="1">
        <v>0.3</v>
      </c>
      <c r="E6" s="1">
        <v>0.35</v>
      </c>
      <c r="F6" s="1">
        <v>0.4</v>
      </c>
      <c r="G6" s="1" t="s">
        <v>61</v>
      </c>
      <c r="H6" s="102" t="s">
        <v>339</v>
      </c>
    </row>
    <row r="7" spans="1:17" x14ac:dyDescent="0.2">
      <c r="C7" s="1" t="s">
        <v>498</v>
      </c>
      <c r="D7" s="1">
        <v>350</v>
      </c>
      <c r="E7" s="1">
        <v>375</v>
      </c>
      <c r="F7" s="1">
        <v>400</v>
      </c>
      <c r="G7" s="1" t="s">
        <v>56</v>
      </c>
      <c r="H7" s="1" t="s">
        <v>59</v>
      </c>
    </row>
    <row r="8" spans="1:17" x14ac:dyDescent="0.2">
      <c r="C8" s="1" t="s">
        <v>499</v>
      </c>
      <c r="D8" s="1">
        <v>300</v>
      </c>
      <c r="E8" s="1">
        <v>350</v>
      </c>
      <c r="F8" s="1">
        <v>400</v>
      </c>
      <c r="G8" s="1" t="s">
        <v>365</v>
      </c>
      <c r="H8" s="1"/>
    </row>
    <row r="9" spans="1:17" x14ac:dyDescent="0.2">
      <c r="C9" s="1" t="s">
        <v>500</v>
      </c>
      <c r="D9" s="1">
        <v>0.95</v>
      </c>
      <c r="E9" s="1">
        <v>0.9</v>
      </c>
      <c r="F9" s="1">
        <v>0.85</v>
      </c>
      <c r="G9" s="1" t="s">
        <v>356</v>
      </c>
      <c r="H9" s="1" t="s">
        <v>357</v>
      </c>
    </row>
    <row r="11" spans="1:17" x14ac:dyDescent="0.2">
      <c r="C11" s="127" t="s">
        <v>463</v>
      </c>
      <c r="D11" s="127"/>
      <c r="E11" s="127"/>
      <c r="F11" s="127"/>
      <c r="G11" s="127"/>
      <c r="H11" s="127"/>
      <c r="I11" s="127"/>
      <c r="J11" s="127"/>
      <c r="K11" s="127"/>
      <c r="L11" s="127"/>
      <c r="M11" s="127"/>
      <c r="N11" s="127"/>
      <c r="O11" s="127"/>
      <c r="P11" s="127"/>
      <c r="Q11" s="127"/>
    </row>
    <row r="12" spans="1:17" x14ac:dyDescent="0.2">
      <c r="A12" s="143"/>
      <c r="B12" s="143"/>
    </row>
    <row r="13" spans="1:17" x14ac:dyDescent="0.2">
      <c r="A13" s="1" t="s">
        <v>363</v>
      </c>
      <c r="B13" s="1" t="s">
        <v>358</v>
      </c>
    </row>
    <row r="14" spans="1:17" x14ac:dyDescent="0.2">
      <c r="A14" s="1" t="s">
        <v>61</v>
      </c>
      <c r="B14" s="1" t="s">
        <v>359</v>
      </c>
    </row>
    <row r="15" spans="1:17" x14ac:dyDescent="0.2">
      <c r="A15" s="1" t="s">
        <v>362</v>
      </c>
      <c r="B15" s="1" t="s">
        <v>360</v>
      </c>
    </row>
    <row r="16" spans="1:17" x14ac:dyDescent="0.2">
      <c r="A16" s="1" t="s">
        <v>56</v>
      </c>
      <c r="B16" s="1" t="s">
        <v>361</v>
      </c>
    </row>
    <row r="17" spans="1:2" x14ac:dyDescent="0.2">
      <c r="A17" s="1" t="s">
        <v>364</v>
      </c>
      <c r="B17" s="1" t="s">
        <v>350</v>
      </c>
    </row>
  </sheetData>
  <mergeCells count="4">
    <mergeCell ref="A12:B12"/>
    <mergeCell ref="C4:G4"/>
    <mergeCell ref="C2:Q2"/>
    <mergeCell ref="C11:Q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0A324-47A4-1748-ABC2-AAEC9476A259}">
  <dimension ref="A1:V77"/>
  <sheetViews>
    <sheetView tabSelected="1" workbookViewId="0">
      <selection activeCell="M38" sqref="M38"/>
    </sheetView>
  </sheetViews>
  <sheetFormatPr baseColWidth="10" defaultRowHeight="16" x14ac:dyDescent="0.2"/>
  <cols>
    <col min="7" max="7" width="12" customWidth="1"/>
    <col min="8" max="8" width="21.5" customWidth="1"/>
    <col min="9" max="9" width="21" customWidth="1"/>
    <col min="10" max="10" width="16.1640625" customWidth="1"/>
  </cols>
  <sheetData>
    <row r="1" spans="1:17" x14ac:dyDescent="0.2">
      <c r="A1" s="148" t="s">
        <v>458</v>
      </c>
      <c r="B1" s="149"/>
      <c r="C1" s="149"/>
      <c r="D1" s="149"/>
      <c r="E1" s="149"/>
      <c r="F1" s="149"/>
      <c r="G1" s="149"/>
      <c r="H1" s="149"/>
      <c r="I1" s="149"/>
      <c r="J1" s="149"/>
      <c r="K1" s="149"/>
      <c r="L1" s="149"/>
      <c r="M1" s="149"/>
      <c r="N1" s="149"/>
      <c r="O1" s="150"/>
    </row>
    <row r="3" spans="1:17" x14ac:dyDescent="0.2">
      <c r="B3" s="138" t="s">
        <v>230</v>
      </c>
      <c r="C3" s="138"/>
      <c r="D3" s="138"/>
      <c r="E3" s="138"/>
      <c r="F3" s="138"/>
      <c r="G3" s="138"/>
      <c r="H3" s="138"/>
    </row>
    <row r="4" spans="1:17" x14ac:dyDescent="0.2">
      <c r="B4" s="1"/>
      <c r="C4" s="1" t="s">
        <v>9</v>
      </c>
      <c r="D4" s="1" t="s">
        <v>5</v>
      </c>
      <c r="E4" s="1" t="s">
        <v>229</v>
      </c>
      <c r="F4" s="1" t="s">
        <v>216</v>
      </c>
      <c r="G4" s="1" t="s">
        <v>214</v>
      </c>
      <c r="H4" s="1" t="s">
        <v>109</v>
      </c>
    </row>
    <row r="5" spans="1:17" x14ac:dyDescent="0.2">
      <c r="B5" s="1" t="s">
        <v>231</v>
      </c>
      <c r="C5" s="1"/>
      <c r="D5" s="40">
        <v>0.8</v>
      </c>
      <c r="E5" s="1" t="s">
        <v>218</v>
      </c>
      <c r="F5" s="1" t="s">
        <v>217</v>
      </c>
      <c r="G5" s="40">
        <v>0.87</v>
      </c>
      <c r="H5" s="1" t="s">
        <v>213</v>
      </c>
    </row>
    <row r="6" spans="1:17" x14ac:dyDescent="0.2">
      <c r="B6" s="1" t="s">
        <v>215</v>
      </c>
      <c r="C6" s="1"/>
      <c r="D6" s="40">
        <v>0.85</v>
      </c>
      <c r="E6" s="1"/>
      <c r="F6" s="1"/>
      <c r="G6" s="40">
        <v>0.88</v>
      </c>
      <c r="H6" s="1"/>
    </row>
    <row r="7" spans="1:17" x14ac:dyDescent="0.2">
      <c r="D7" s="113"/>
      <c r="G7" s="113"/>
    </row>
    <row r="8" spans="1:17" x14ac:dyDescent="0.2">
      <c r="A8" s="127" t="s">
        <v>459</v>
      </c>
      <c r="B8" s="127"/>
      <c r="C8" s="127"/>
      <c r="D8" s="127"/>
      <c r="E8" s="127"/>
      <c r="F8" s="127"/>
      <c r="G8" s="127"/>
      <c r="H8" s="127"/>
      <c r="I8" s="127"/>
      <c r="J8" s="127"/>
      <c r="K8" s="127"/>
      <c r="L8" s="127"/>
      <c r="M8" s="127"/>
      <c r="N8" s="127"/>
      <c r="O8" s="127"/>
      <c r="P8" s="127"/>
      <c r="Q8" s="127"/>
    </row>
    <row r="9" spans="1:17" x14ac:dyDescent="0.2">
      <c r="B9" s="138" t="s">
        <v>235</v>
      </c>
      <c r="C9" s="138"/>
      <c r="D9" s="138"/>
      <c r="E9" s="138"/>
      <c r="F9" s="138"/>
      <c r="G9" s="138"/>
      <c r="H9" s="138"/>
      <c r="I9" s="12"/>
    </row>
    <row r="11" spans="1:17" x14ac:dyDescent="0.2">
      <c r="E11" s="1" t="s">
        <v>236</v>
      </c>
      <c r="F11" s="1" t="s">
        <v>233</v>
      </c>
      <c r="G11" s="1" t="s">
        <v>234</v>
      </c>
      <c r="H11" s="1" t="s">
        <v>237</v>
      </c>
    </row>
    <row r="12" spans="1:17" x14ac:dyDescent="0.2">
      <c r="E12" s="1" t="s">
        <v>143</v>
      </c>
      <c r="F12" s="1">
        <v>1700</v>
      </c>
      <c r="G12" s="1">
        <v>1400</v>
      </c>
      <c r="H12" s="1" t="s">
        <v>238</v>
      </c>
    </row>
    <row r="13" spans="1:17" x14ac:dyDescent="0.2">
      <c r="E13" s="1" t="s">
        <v>124</v>
      </c>
      <c r="F13" s="1">
        <v>1800</v>
      </c>
      <c r="G13" s="1">
        <v>1500</v>
      </c>
      <c r="H13" s="1" t="s">
        <v>238</v>
      </c>
    </row>
    <row r="14" spans="1:17" x14ac:dyDescent="0.2">
      <c r="E14" s="1" t="s">
        <v>119</v>
      </c>
      <c r="F14" s="84">
        <v>1700</v>
      </c>
      <c r="G14" s="1">
        <v>1400</v>
      </c>
      <c r="H14" s="1" t="s">
        <v>6</v>
      </c>
    </row>
    <row r="15" spans="1:17" x14ac:dyDescent="0.2">
      <c r="E15" s="84" t="s">
        <v>121</v>
      </c>
      <c r="F15" s="1">
        <v>1800</v>
      </c>
      <c r="G15" s="1">
        <v>1500</v>
      </c>
      <c r="H15" s="1" t="s">
        <v>6</v>
      </c>
    </row>
    <row r="16" spans="1:17" x14ac:dyDescent="0.2">
      <c r="E16" s="84" t="s">
        <v>144</v>
      </c>
      <c r="F16" s="84">
        <v>1700</v>
      </c>
      <c r="G16" s="1">
        <v>1400</v>
      </c>
      <c r="H16" s="1" t="s">
        <v>6</v>
      </c>
    </row>
    <row r="17" spans="2:20" x14ac:dyDescent="0.2">
      <c r="E17" s="1" t="s">
        <v>240</v>
      </c>
      <c r="F17" s="1" t="s">
        <v>241</v>
      </c>
      <c r="G17" s="1" t="s">
        <v>241</v>
      </c>
      <c r="H17" s="1" t="s">
        <v>242</v>
      </c>
    </row>
    <row r="20" spans="2:20" x14ac:dyDescent="0.2">
      <c r="B20" s="138" t="s">
        <v>547</v>
      </c>
      <c r="C20" s="138"/>
      <c r="D20" s="138"/>
      <c r="E20" s="138"/>
      <c r="F20" s="138"/>
      <c r="G20" s="138"/>
      <c r="H20" s="138"/>
      <c r="I20" s="138"/>
      <c r="J20" s="138"/>
    </row>
    <row r="22" spans="2:20" x14ac:dyDescent="0.2">
      <c r="E22" s="1" t="s">
        <v>60</v>
      </c>
      <c r="F22" s="1" t="s">
        <v>239</v>
      </c>
      <c r="G22" s="1" t="s">
        <v>233</v>
      </c>
      <c r="H22" s="1" t="s">
        <v>237</v>
      </c>
      <c r="I22" s="1" t="s">
        <v>259</v>
      </c>
      <c r="J22" s="1" t="s">
        <v>253</v>
      </c>
    </row>
    <row r="23" spans="2:20" ht="14" customHeight="1" x14ac:dyDescent="0.2">
      <c r="E23" s="1" t="s">
        <v>257</v>
      </c>
      <c r="F23" s="35">
        <v>60</v>
      </c>
      <c r="G23" s="35">
        <v>60</v>
      </c>
      <c r="H23" s="1" t="s">
        <v>229</v>
      </c>
      <c r="I23" s="93" t="s">
        <v>260</v>
      </c>
      <c r="J23" s="1"/>
    </row>
    <row r="24" spans="2:20" ht="14" customHeight="1" x14ac:dyDescent="0.2">
      <c r="E24" s="1" t="s">
        <v>258</v>
      </c>
      <c r="F24" s="35">
        <v>0</v>
      </c>
      <c r="G24" s="35">
        <v>0</v>
      </c>
      <c r="H24" s="1" t="s">
        <v>229</v>
      </c>
      <c r="I24" s="93" t="s">
        <v>260</v>
      </c>
      <c r="J24" s="37"/>
    </row>
    <row r="25" spans="2:20" ht="14" customHeight="1" x14ac:dyDescent="0.2">
      <c r="E25" s="1" t="s">
        <v>248</v>
      </c>
      <c r="F25" s="35" t="s">
        <v>287</v>
      </c>
      <c r="G25" s="1" t="s">
        <v>288</v>
      </c>
      <c r="H25" s="1" t="s">
        <v>119</v>
      </c>
      <c r="I25" s="93" t="s">
        <v>472</v>
      </c>
      <c r="J25" s="151" t="s">
        <v>254</v>
      </c>
      <c r="K25" s="152"/>
      <c r="L25" s="152"/>
      <c r="M25" s="152"/>
      <c r="N25" s="152"/>
      <c r="O25" s="152"/>
      <c r="P25" s="152"/>
      <c r="Q25" s="152"/>
      <c r="R25" s="152"/>
      <c r="S25" s="152"/>
      <c r="T25" s="152"/>
    </row>
    <row r="26" spans="2:20" x14ac:dyDescent="0.2">
      <c r="E26" s="1" t="s">
        <v>247</v>
      </c>
      <c r="F26" s="1" t="s">
        <v>251</v>
      </c>
      <c r="G26" s="1" t="s">
        <v>250</v>
      </c>
      <c r="H26" s="1" t="s">
        <v>252</v>
      </c>
      <c r="I26" s="93" t="s">
        <v>472</v>
      </c>
      <c r="J26" s="151"/>
      <c r="K26" s="152"/>
      <c r="L26" s="152"/>
      <c r="M26" s="152"/>
      <c r="N26" s="152"/>
      <c r="O26" s="152"/>
      <c r="P26" s="152"/>
      <c r="Q26" s="152"/>
      <c r="R26" s="152"/>
      <c r="S26" s="152"/>
      <c r="T26" s="152"/>
    </row>
    <row r="27" spans="2:20" ht="36" customHeight="1" x14ac:dyDescent="0.2">
      <c r="J27" s="1" t="s">
        <v>289</v>
      </c>
      <c r="K27" s="116"/>
      <c r="L27" s="116"/>
      <c r="M27" s="116"/>
      <c r="N27" s="116"/>
      <c r="O27" s="116"/>
      <c r="P27" s="116"/>
      <c r="Q27" s="116"/>
      <c r="R27" s="116"/>
    </row>
    <row r="28" spans="2:20" ht="36" customHeight="1" x14ac:dyDescent="0.2"/>
    <row r="30" spans="2:20" x14ac:dyDescent="0.2">
      <c r="B30" s="138" t="s">
        <v>548</v>
      </c>
      <c r="C30" s="138"/>
      <c r="D30" s="138"/>
      <c r="E30" s="138"/>
      <c r="F30" s="138"/>
      <c r="G30" s="138"/>
      <c r="H30" s="138"/>
      <c r="I30" s="138"/>
      <c r="J30" s="138"/>
    </row>
    <row r="32" spans="2:20" x14ac:dyDescent="0.2">
      <c r="D32" s="1"/>
      <c r="E32" s="1" t="s">
        <v>243</v>
      </c>
      <c r="F32" s="1" t="s">
        <v>244</v>
      </c>
      <c r="G32" s="1" t="s">
        <v>245</v>
      </c>
      <c r="H32" s="1" t="s">
        <v>237</v>
      </c>
      <c r="I32" s="1"/>
      <c r="J32" s="1" t="s">
        <v>253</v>
      </c>
    </row>
    <row r="33" spans="1:22" x14ac:dyDescent="0.2">
      <c r="D33" s="1" t="s">
        <v>246</v>
      </c>
      <c r="E33" s="98">
        <v>1.0000000000000001E-5</v>
      </c>
      <c r="F33" s="35" t="s">
        <v>286</v>
      </c>
      <c r="G33" s="57">
        <v>1.0000000000000001E-5</v>
      </c>
      <c r="H33" s="145" t="s">
        <v>263</v>
      </c>
      <c r="I33" s="146" t="s">
        <v>260</v>
      </c>
      <c r="J33" s="1" t="s">
        <v>552</v>
      </c>
    </row>
    <row r="34" spans="1:22" x14ac:dyDescent="0.2">
      <c r="D34" s="1" t="s">
        <v>249</v>
      </c>
      <c r="E34" s="1">
        <v>1</v>
      </c>
      <c r="F34" s="1" t="s">
        <v>256</v>
      </c>
      <c r="G34" s="1" t="s">
        <v>255</v>
      </c>
      <c r="H34" s="145"/>
      <c r="I34" s="147"/>
      <c r="J34" s="1" t="s">
        <v>261</v>
      </c>
    </row>
    <row r="35" spans="1:22" x14ac:dyDescent="0.2">
      <c r="H35" s="115"/>
      <c r="I35" s="104"/>
      <c r="J35" s="119" t="s">
        <v>563</v>
      </c>
      <c r="K35" s="119"/>
      <c r="L35" s="119"/>
      <c r="M35" s="119"/>
      <c r="N35" s="119"/>
      <c r="O35" s="119"/>
      <c r="P35" s="119"/>
      <c r="Q35" s="119"/>
      <c r="R35" s="119"/>
      <c r="S35" s="119"/>
      <c r="T35" s="119"/>
      <c r="U35" s="119"/>
      <c r="V35" s="119"/>
    </row>
    <row r="36" spans="1:22" x14ac:dyDescent="0.2">
      <c r="H36" s="115"/>
      <c r="I36" s="104"/>
    </row>
    <row r="37" spans="1:22" x14ac:dyDescent="0.2">
      <c r="B37" s="138" t="s">
        <v>549</v>
      </c>
      <c r="C37" s="138"/>
      <c r="D37" s="138"/>
      <c r="E37" s="138"/>
      <c r="F37" s="138"/>
      <c r="G37" s="138"/>
      <c r="H37" s="138"/>
      <c r="I37" s="138"/>
      <c r="J37" s="138"/>
    </row>
    <row r="38" spans="1:22" x14ac:dyDescent="0.2">
      <c r="H38" s="115"/>
      <c r="I38" s="104"/>
    </row>
    <row r="39" spans="1:22" x14ac:dyDescent="0.2">
      <c r="D39" s="1"/>
      <c r="E39" s="1" t="s">
        <v>243</v>
      </c>
      <c r="F39" s="1" t="s">
        <v>244</v>
      </c>
      <c r="G39" s="1" t="s">
        <v>245</v>
      </c>
      <c r="H39" s="115"/>
      <c r="I39" s="104"/>
    </row>
    <row r="40" spans="1:22" x14ac:dyDescent="0.2">
      <c r="D40" s="1" t="s">
        <v>42</v>
      </c>
      <c r="E40" s="40">
        <v>0.79</v>
      </c>
      <c r="F40" s="40">
        <v>0.16</v>
      </c>
      <c r="G40" s="40">
        <v>0.05</v>
      </c>
      <c r="H40" s="115"/>
      <c r="I40" s="104"/>
    </row>
    <row r="41" spans="1:22" x14ac:dyDescent="0.2">
      <c r="D41" s="1" t="s">
        <v>53</v>
      </c>
      <c r="E41" s="40">
        <v>0.3</v>
      </c>
      <c r="F41" s="40">
        <v>0.6</v>
      </c>
      <c r="G41" s="40">
        <v>0.1</v>
      </c>
      <c r="H41" s="115"/>
      <c r="I41" s="104"/>
    </row>
    <row r="42" spans="1:22" x14ac:dyDescent="0.2">
      <c r="H42" s="115"/>
      <c r="I42" s="104"/>
    </row>
    <row r="43" spans="1:22" x14ac:dyDescent="0.2">
      <c r="D43" s="1"/>
      <c r="E43" s="1" t="s">
        <v>233</v>
      </c>
      <c r="F43" s="1" t="s">
        <v>239</v>
      </c>
      <c r="H43" s="115"/>
      <c r="I43" s="104"/>
    </row>
    <row r="44" spans="1:22" x14ac:dyDescent="0.2">
      <c r="D44" s="1" t="s">
        <v>42</v>
      </c>
      <c r="E44" s="40">
        <v>0.5</v>
      </c>
      <c r="F44" s="40">
        <v>0.5</v>
      </c>
      <c r="H44" s="115"/>
      <c r="I44" s="104"/>
    </row>
    <row r="45" spans="1:22" x14ac:dyDescent="0.2">
      <c r="D45" s="1" t="s">
        <v>53</v>
      </c>
      <c r="E45" s="40">
        <v>0</v>
      </c>
      <c r="F45" s="40">
        <v>1</v>
      </c>
      <c r="H45" s="115"/>
      <c r="I45" s="104"/>
    </row>
    <row r="46" spans="1:22" x14ac:dyDescent="0.2">
      <c r="H46" s="115"/>
      <c r="I46" s="104"/>
    </row>
    <row r="47" spans="1:22" x14ac:dyDescent="0.2">
      <c r="A47" s="127" t="s">
        <v>462</v>
      </c>
      <c r="B47" s="127"/>
      <c r="C47" s="127"/>
      <c r="D47" s="127"/>
      <c r="E47" s="127"/>
      <c r="F47" s="127"/>
      <c r="G47" s="127"/>
      <c r="H47" s="127"/>
      <c r="I47" s="127"/>
      <c r="J47" s="127"/>
      <c r="K47" s="127"/>
      <c r="L47" s="127"/>
      <c r="M47" s="127"/>
      <c r="N47" s="127"/>
      <c r="O47" s="127"/>
      <c r="P47" s="127"/>
      <c r="Q47" s="127"/>
    </row>
    <row r="48" spans="1:22" x14ac:dyDescent="0.2">
      <c r="H48" s="115"/>
      <c r="I48" s="104"/>
    </row>
    <row r="49" spans="1:15" x14ac:dyDescent="0.2">
      <c r="C49" s="138" t="s">
        <v>550</v>
      </c>
      <c r="D49" s="138"/>
      <c r="E49" s="138"/>
      <c r="F49" s="138"/>
      <c r="G49" s="138"/>
      <c r="H49" s="138"/>
      <c r="I49" s="138"/>
      <c r="J49" s="138"/>
      <c r="K49" s="138"/>
      <c r="L49" s="138"/>
      <c r="M49" s="138"/>
      <c r="N49" s="138"/>
    </row>
    <row r="50" spans="1:15" x14ac:dyDescent="0.2">
      <c r="C50" s="1" t="s">
        <v>507</v>
      </c>
      <c r="D50" s="1" t="s">
        <v>508</v>
      </c>
      <c r="E50" s="1" t="s">
        <v>509</v>
      </c>
      <c r="F50" s="1" t="s">
        <v>510</v>
      </c>
      <c r="G50" s="1" t="s">
        <v>511</v>
      </c>
      <c r="H50" s="1" t="s">
        <v>512</v>
      </c>
      <c r="I50" s="1" t="s">
        <v>513</v>
      </c>
      <c r="J50" s="1" t="s">
        <v>514</v>
      </c>
      <c r="K50" s="1" t="s">
        <v>515</v>
      </c>
      <c r="L50" s="1" t="s">
        <v>516</v>
      </c>
      <c r="M50" s="1" t="s">
        <v>450</v>
      </c>
      <c r="N50" s="1" t="s">
        <v>451</v>
      </c>
    </row>
    <row r="51" spans="1:15" x14ac:dyDescent="0.2">
      <c r="C51" s="1" t="s">
        <v>520</v>
      </c>
      <c r="D51" s="1">
        <v>0.97199999999999998</v>
      </c>
      <c r="E51" s="1">
        <v>0.97199999999999998</v>
      </c>
      <c r="F51" s="1">
        <v>0.89700000000000002</v>
      </c>
      <c r="G51" s="1">
        <v>0.89700000000000002</v>
      </c>
      <c r="H51" s="1">
        <v>0.9345</v>
      </c>
      <c r="I51" s="1">
        <v>0.9345</v>
      </c>
      <c r="J51" s="1">
        <v>0.96</v>
      </c>
      <c r="K51" s="1">
        <v>0.92159999999999997</v>
      </c>
      <c r="L51" s="1">
        <v>0.96</v>
      </c>
      <c r="M51" s="1">
        <f>D51*E40+H51*F40+F51*G40</f>
        <v>0.96225000000000005</v>
      </c>
      <c r="N51" s="1">
        <f>D51*E41+F51*G41+H51*F41</f>
        <v>0.94199999999999995</v>
      </c>
    </row>
    <row r="52" spans="1:15" x14ac:dyDescent="0.2">
      <c r="C52" s="1" t="s">
        <v>519</v>
      </c>
      <c r="D52" s="57">
        <v>2.0999999999999999E-5</v>
      </c>
      <c r="E52" s="57">
        <v>3.0000000000000001E-5</v>
      </c>
      <c r="F52" s="57">
        <v>2.0999999999999999E-5</v>
      </c>
      <c r="G52" s="57">
        <v>3.0000000000000001E-5</v>
      </c>
      <c r="H52" s="57">
        <v>3.1000000000000001E-5</v>
      </c>
      <c r="I52" s="57">
        <v>4.0000000000000003E-5</v>
      </c>
      <c r="J52" s="57">
        <v>5.0000000000000002E-5</v>
      </c>
      <c r="K52" s="57">
        <v>6.9999999999999994E-5</v>
      </c>
      <c r="L52" s="57">
        <v>3.4999999999999997E-5</v>
      </c>
      <c r="M52" s="57">
        <f>(D52*E44+E52*F44)*(E40+G40)+(H52*E44+I52*F44)*F40</f>
        <v>2.7100000000000001E-5</v>
      </c>
      <c r="N52" s="57">
        <f>E52*E41+G52*G41+I52*F41</f>
        <v>3.6000000000000001E-5</v>
      </c>
    </row>
    <row r="53" spans="1:15" x14ac:dyDescent="0.2">
      <c r="C53" s="1" t="s">
        <v>518</v>
      </c>
      <c r="D53" s="1">
        <v>60</v>
      </c>
      <c r="E53" s="1">
        <v>60</v>
      </c>
      <c r="F53" s="1">
        <v>60</v>
      </c>
      <c r="G53" s="1">
        <v>60</v>
      </c>
      <c r="H53" s="1">
        <v>60</v>
      </c>
      <c r="I53" s="1">
        <v>60</v>
      </c>
      <c r="J53" s="1">
        <v>60</v>
      </c>
      <c r="K53" s="1">
        <v>60</v>
      </c>
      <c r="L53" s="1">
        <v>60</v>
      </c>
      <c r="M53" s="1">
        <v>60</v>
      </c>
      <c r="N53" s="1">
        <v>60</v>
      </c>
    </row>
    <row r="54" spans="1:15" x14ac:dyDescent="0.2">
      <c r="C54" s="1" t="s">
        <v>236</v>
      </c>
      <c r="D54" s="1">
        <v>1800</v>
      </c>
      <c r="E54" s="1">
        <v>1700</v>
      </c>
      <c r="F54" s="1">
        <v>1800</v>
      </c>
      <c r="G54" s="1">
        <v>1700</v>
      </c>
      <c r="H54" s="1">
        <v>1800</v>
      </c>
      <c r="I54" s="1">
        <v>1700</v>
      </c>
      <c r="J54" s="1">
        <v>1700</v>
      </c>
      <c r="K54" s="1">
        <v>1700</v>
      </c>
      <c r="L54" s="1">
        <v>1800</v>
      </c>
      <c r="M54" s="1">
        <f>D54*E44+E54*F44</f>
        <v>1750</v>
      </c>
      <c r="N54" s="1">
        <f>E54</f>
        <v>1700</v>
      </c>
    </row>
    <row r="57" spans="1:15" x14ac:dyDescent="0.2">
      <c r="C57" s="135" t="s">
        <v>551</v>
      </c>
      <c r="D57" s="136"/>
      <c r="E57" s="136"/>
      <c r="F57" s="136"/>
      <c r="G57" s="136"/>
      <c r="H57" s="137"/>
    </row>
    <row r="58" spans="1:15" x14ac:dyDescent="0.2">
      <c r="C58" s="1" t="s">
        <v>507</v>
      </c>
      <c r="D58" s="1" t="s">
        <v>243</v>
      </c>
      <c r="E58" s="1" t="s">
        <v>245</v>
      </c>
      <c r="F58" s="1" t="s">
        <v>244</v>
      </c>
      <c r="G58" s="1" t="s">
        <v>450</v>
      </c>
      <c r="H58" s="1" t="s">
        <v>451</v>
      </c>
    </row>
    <row r="59" spans="1:15" x14ac:dyDescent="0.2">
      <c r="C59" s="1" t="s">
        <v>520</v>
      </c>
      <c r="D59" s="1">
        <v>1</v>
      </c>
      <c r="E59" s="1">
        <v>0.94</v>
      </c>
      <c r="F59" s="1">
        <v>0.97</v>
      </c>
      <c r="G59" s="1">
        <f>D59*E40+E59*G40+F59*F40</f>
        <v>0.99220000000000008</v>
      </c>
      <c r="H59" s="1">
        <f>D59*E41+E59*G41+F59*F41</f>
        <v>0.97599999999999998</v>
      </c>
    </row>
    <row r="60" spans="1:15" x14ac:dyDescent="0.2">
      <c r="C60" s="1" t="s">
        <v>519</v>
      </c>
      <c r="D60" s="98">
        <v>0</v>
      </c>
      <c r="E60" s="98">
        <v>0</v>
      </c>
      <c r="F60" s="57">
        <v>1.0000000000000001E-5</v>
      </c>
      <c r="G60" s="57">
        <f>D60*E40+E60*G40+F60*F40</f>
        <v>1.6000000000000001E-6</v>
      </c>
      <c r="H60" s="57">
        <f>F60*F41</f>
        <v>6.0000000000000002E-6</v>
      </c>
    </row>
    <row r="61" spans="1:15" x14ac:dyDescent="0.2">
      <c r="H61" s="115"/>
    </row>
    <row r="63" spans="1:15" x14ac:dyDescent="0.2">
      <c r="A63" s="127" t="s">
        <v>463</v>
      </c>
      <c r="B63" s="127"/>
      <c r="C63" s="127"/>
      <c r="D63" s="127"/>
      <c r="E63" s="127"/>
      <c r="F63" s="127"/>
      <c r="G63" s="127"/>
      <c r="H63" s="127"/>
      <c r="I63" s="127"/>
      <c r="J63" s="127"/>
      <c r="K63" s="127"/>
      <c r="L63" s="127"/>
      <c r="M63" s="127"/>
      <c r="N63" s="127"/>
      <c r="O63" s="127"/>
    </row>
    <row r="65" spans="1:3" x14ac:dyDescent="0.2">
      <c r="A65" s="138" t="s">
        <v>310</v>
      </c>
      <c r="B65" s="138"/>
    </row>
    <row r="66" spans="1:3" x14ac:dyDescent="0.2">
      <c r="A66" s="1" t="s">
        <v>262</v>
      </c>
      <c r="B66" s="1" t="s">
        <v>397</v>
      </c>
    </row>
    <row r="67" spans="1:3" x14ac:dyDescent="0.2">
      <c r="A67" s="1" t="s">
        <v>109</v>
      </c>
      <c r="B67" s="1" t="s">
        <v>343</v>
      </c>
    </row>
    <row r="68" spans="1:3" x14ac:dyDescent="0.2">
      <c r="A68" s="1" t="s">
        <v>111</v>
      </c>
      <c r="B68" s="1" t="s">
        <v>354</v>
      </c>
      <c r="C68" s="12"/>
    </row>
    <row r="69" spans="1:3" x14ac:dyDescent="0.2">
      <c r="A69" s="1" t="s">
        <v>399</v>
      </c>
      <c r="B69" s="1" t="s">
        <v>392</v>
      </c>
    </row>
    <row r="70" spans="1:3" x14ac:dyDescent="0.2">
      <c r="A70" s="1" t="s">
        <v>216</v>
      </c>
      <c r="B70" s="1" t="s">
        <v>393</v>
      </c>
    </row>
    <row r="71" spans="1:3" x14ac:dyDescent="0.2">
      <c r="A71" s="1" t="s">
        <v>214</v>
      </c>
      <c r="B71" s="1" t="s">
        <v>394</v>
      </c>
    </row>
    <row r="72" spans="1:3" x14ac:dyDescent="0.2">
      <c r="A72" s="1" t="s">
        <v>264</v>
      </c>
      <c r="B72" s="1" t="s">
        <v>396</v>
      </c>
    </row>
    <row r="73" spans="1:3" x14ac:dyDescent="0.2">
      <c r="A73" s="1" t="s">
        <v>265</v>
      </c>
      <c r="B73" s="1" t="s">
        <v>395</v>
      </c>
    </row>
    <row r="74" spans="1:3" x14ac:dyDescent="0.2">
      <c r="A74" s="1" t="s">
        <v>400</v>
      </c>
      <c r="B74" s="1" t="s">
        <v>444</v>
      </c>
    </row>
    <row r="75" spans="1:3" x14ac:dyDescent="0.2">
      <c r="A75" s="1" t="s">
        <v>401</v>
      </c>
      <c r="B75" s="31" t="s">
        <v>438</v>
      </c>
    </row>
    <row r="76" spans="1:3" x14ac:dyDescent="0.2">
      <c r="A76" s="1" t="s">
        <v>403</v>
      </c>
      <c r="B76" s="1" t="s">
        <v>402</v>
      </c>
    </row>
    <row r="77" spans="1:3" x14ac:dyDescent="0.2">
      <c r="A77" s="1" t="s">
        <v>404</v>
      </c>
      <c r="B77" s="1" t="s">
        <v>398</v>
      </c>
    </row>
  </sheetData>
  <mergeCells count="15">
    <mergeCell ref="A1:O1"/>
    <mergeCell ref="A8:Q8"/>
    <mergeCell ref="B20:J20"/>
    <mergeCell ref="B30:J30"/>
    <mergeCell ref="A63:O63"/>
    <mergeCell ref="J25:T26"/>
    <mergeCell ref="A47:Q47"/>
    <mergeCell ref="B37:J37"/>
    <mergeCell ref="C49:N49"/>
    <mergeCell ref="C57:H57"/>
    <mergeCell ref="A65:B65"/>
    <mergeCell ref="H33:H34"/>
    <mergeCell ref="I33:I34"/>
    <mergeCell ref="B3:H3"/>
    <mergeCell ref="B9:H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FE3D9-999B-794E-9FF0-EFAEC2A6BBA3}">
  <dimension ref="B2:K20"/>
  <sheetViews>
    <sheetView workbookViewId="0">
      <selection activeCell="K12" sqref="K12"/>
    </sheetView>
  </sheetViews>
  <sheetFormatPr baseColWidth="10" defaultRowHeight="16" x14ac:dyDescent="0.2"/>
  <cols>
    <col min="5" max="6" width="13.33203125" customWidth="1"/>
    <col min="7" max="7" width="12" customWidth="1"/>
    <col min="8" max="8" width="11.1640625" customWidth="1"/>
    <col min="9" max="9" width="10.1640625" customWidth="1"/>
    <col min="10" max="10" width="12.6640625" customWidth="1"/>
  </cols>
  <sheetData>
    <row r="2" spans="2:11" x14ac:dyDescent="0.2">
      <c r="B2" s="138" t="s">
        <v>266</v>
      </c>
      <c r="C2" s="138"/>
      <c r="D2" s="138"/>
      <c r="E2" s="138"/>
      <c r="F2" s="138"/>
      <c r="G2" s="138"/>
      <c r="H2" s="138"/>
      <c r="I2" s="138"/>
      <c r="J2" s="138"/>
      <c r="K2" s="138"/>
    </row>
    <row r="3" spans="2:11" x14ac:dyDescent="0.2">
      <c r="B3" s="56"/>
      <c r="C3" s="56"/>
      <c r="D3" s="56"/>
      <c r="E3" s="56"/>
      <c r="F3" s="56"/>
      <c r="G3" s="56"/>
      <c r="H3" s="56"/>
    </row>
    <row r="4" spans="2:11" x14ac:dyDescent="0.2">
      <c r="B4" s="1" t="s">
        <v>222</v>
      </c>
      <c r="C4" s="1" t="s">
        <v>267</v>
      </c>
      <c r="D4" s="1" t="s">
        <v>270</v>
      </c>
      <c r="E4" s="1" t="s">
        <v>268</v>
      </c>
      <c r="F4" s="1" t="s">
        <v>269</v>
      </c>
      <c r="G4" s="1" t="s">
        <v>271</v>
      </c>
      <c r="H4" s="1" t="s">
        <v>224</v>
      </c>
      <c r="I4" s="1" t="s">
        <v>225</v>
      </c>
      <c r="J4" s="93" t="s">
        <v>272</v>
      </c>
      <c r="K4" s="1" t="s">
        <v>273</v>
      </c>
    </row>
    <row r="5" spans="2:11" x14ac:dyDescent="0.2">
      <c r="B5" s="1" t="s">
        <v>143</v>
      </c>
      <c r="C5" s="57">
        <v>1695000</v>
      </c>
      <c r="D5" s="1">
        <v>41</v>
      </c>
      <c r="E5" s="1">
        <f>C5*D5/100</f>
        <v>694950</v>
      </c>
      <c r="F5" s="1">
        <v>299</v>
      </c>
      <c r="G5" s="1">
        <f>E5/F5</f>
        <v>2324.247491638796</v>
      </c>
      <c r="H5" s="1">
        <v>23266</v>
      </c>
      <c r="I5" s="1">
        <v>0.48</v>
      </c>
      <c r="J5" s="94">
        <f t="shared" ref="J5:J10" si="0">E5/H5</f>
        <v>29.869767042035587</v>
      </c>
      <c r="K5" s="35">
        <f>J5/I5</f>
        <v>62.228681337574145</v>
      </c>
    </row>
    <row r="6" spans="2:11" x14ac:dyDescent="0.2">
      <c r="B6" s="1" t="s">
        <v>223</v>
      </c>
      <c r="C6" s="57">
        <v>3812000</v>
      </c>
      <c r="D6" s="1">
        <v>42</v>
      </c>
      <c r="E6" s="1">
        <f t="shared" ref="E6:E8" si="1">C6*D6/100</f>
        <v>1601040</v>
      </c>
      <c r="F6" s="1">
        <v>593</v>
      </c>
      <c r="G6" s="1">
        <f>E6/F6</f>
        <v>2699.8988195615516</v>
      </c>
      <c r="H6" s="1">
        <v>50878</v>
      </c>
      <c r="I6" t="s">
        <v>292</v>
      </c>
      <c r="J6" s="94">
        <f t="shared" si="0"/>
        <v>31.468218090333739</v>
      </c>
      <c r="K6" s="35" t="s">
        <v>293</v>
      </c>
    </row>
    <row r="7" spans="2:11" x14ac:dyDescent="0.2">
      <c r="B7" s="1" t="s">
        <v>124</v>
      </c>
      <c r="C7" s="57">
        <v>783000</v>
      </c>
      <c r="D7" s="1">
        <v>38</v>
      </c>
      <c r="E7" s="1">
        <f t="shared" si="1"/>
        <v>297540</v>
      </c>
      <c r="F7" s="1">
        <v>85</v>
      </c>
      <c r="G7" s="1">
        <f>E7/F7</f>
        <v>3500.4705882352941</v>
      </c>
      <c r="H7" s="1">
        <f>H9+H8</f>
        <v>10932.1</v>
      </c>
      <c r="I7" s="1">
        <v>0.47</v>
      </c>
      <c r="J7" s="94">
        <f t="shared" si="0"/>
        <v>27.21709461128237</v>
      </c>
      <c r="K7" s="35">
        <f t="shared" ref="K7:K10" si="2">J7/I7</f>
        <v>57.908711938898662</v>
      </c>
    </row>
    <row r="8" spans="2:11" x14ac:dyDescent="0.2">
      <c r="B8" s="1" t="s">
        <v>228</v>
      </c>
      <c r="C8" s="57">
        <v>328000</v>
      </c>
      <c r="D8" s="1">
        <v>22</v>
      </c>
      <c r="E8" s="1">
        <f t="shared" si="1"/>
        <v>72160</v>
      </c>
      <c r="F8" s="1">
        <v>15</v>
      </c>
      <c r="G8" s="1">
        <f>E8/F8</f>
        <v>4810.666666666667</v>
      </c>
      <c r="H8" s="1">
        <v>6956</v>
      </c>
      <c r="I8" s="1">
        <v>0.17</v>
      </c>
      <c r="J8" s="94">
        <f t="shared" si="0"/>
        <v>10.373778033352501</v>
      </c>
      <c r="K8" s="35">
        <f t="shared" si="2"/>
        <v>61.022223725602942</v>
      </c>
    </row>
    <row r="9" spans="2:11" x14ac:dyDescent="0.2">
      <c r="B9" s="1" t="s">
        <v>227</v>
      </c>
      <c r="C9" s="57">
        <v>441000</v>
      </c>
      <c r="D9" s="1">
        <v>50</v>
      </c>
      <c r="E9" s="1">
        <f>C9*D9/100</f>
        <v>220500</v>
      </c>
      <c r="F9" s="1">
        <v>70</v>
      </c>
      <c r="G9" s="1">
        <f>E9/F9</f>
        <v>3150</v>
      </c>
      <c r="H9" s="1">
        <v>3976.1</v>
      </c>
      <c r="I9" s="1">
        <v>1</v>
      </c>
      <c r="J9" s="95">
        <f t="shared" si="0"/>
        <v>55.456351701415961</v>
      </c>
      <c r="K9" s="35">
        <f t="shared" si="2"/>
        <v>55.456351701415961</v>
      </c>
    </row>
    <row r="10" spans="2:11" x14ac:dyDescent="0.2">
      <c r="B10" s="1" t="s">
        <v>226</v>
      </c>
      <c r="C10" s="1"/>
      <c r="D10" s="1"/>
      <c r="E10" s="23">
        <f>F10*G10</f>
        <v>39512.20735785953</v>
      </c>
      <c r="F10" s="1">
        <v>17</v>
      </c>
      <c r="G10" s="23">
        <f>G5</f>
        <v>2324.247491638796</v>
      </c>
      <c r="H10" s="1">
        <v>614</v>
      </c>
      <c r="I10" s="1">
        <v>1</v>
      </c>
      <c r="J10" s="95">
        <f t="shared" si="0"/>
        <v>64.352129247328222</v>
      </c>
      <c r="K10" s="35">
        <f t="shared" si="2"/>
        <v>64.352129247328222</v>
      </c>
    </row>
    <row r="12" spans="2:11" x14ac:dyDescent="0.2">
      <c r="J12" s="1" t="s">
        <v>283</v>
      </c>
      <c r="K12" s="96">
        <f>(K7+K5)/2</f>
        <v>60.068696638236403</v>
      </c>
    </row>
    <row r="13" spans="2:11" x14ac:dyDescent="0.2">
      <c r="K13" s="85"/>
    </row>
    <row r="14" spans="2:11" x14ac:dyDescent="0.2">
      <c r="B14" s="138" t="s">
        <v>284</v>
      </c>
      <c r="C14" s="138"/>
      <c r="D14" s="138"/>
      <c r="E14" s="138"/>
      <c r="F14" s="138"/>
      <c r="G14" s="138"/>
      <c r="H14" s="138"/>
      <c r="I14" s="138"/>
      <c r="J14" s="138"/>
      <c r="K14" s="138"/>
    </row>
    <row r="15" spans="2:11" x14ac:dyDescent="0.2">
      <c r="B15" s="56"/>
      <c r="C15" s="56"/>
      <c r="D15" s="56"/>
      <c r="E15" s="56"/>
      <c r="F15" s="56"/>
      <c r="G15" s="56"/>
      <c r="H15" s="56"/>
      <c r="I15" s="91"/>
    </row>
    <row r="16" spans="2:11" x14ac:dyDescent="0.2">
      <c r="B16" s="1" t="s">
        <v>8</v>
      </c>
      <c r="C16" s="1" t="s">
        <v>274</v>
      </c>
      <c r="D16" s="1" t="s">
        <v>275</v>
      </c>
      <c r="E16" s="1" t="s">
        <v>276</v>
      </c>
      <c r="F16" s="1" t="s">
        <v>277</v>
      </c>
      <c r="H16" s="92"/>
      <c r="I16" s="1" t="s">
        <v>280</v>
      </c>
      <c r="J16" s="1" t="s">
        <v>281</v>
      </c>
      <c r="K16" s="1" t="s">
        <v>54</v>
      </c>
    </row>
    <row r="17" spans="2:11" x14ac:dyDescent="0.2">
      <c r="B17" s="1">
        <v>500</v>
      </c>
      <c r="C17" s="1">
        <v>21</v>
      </c>
      <c r="D17" s="1">
        <v>107</v>
      </c>
      <c r="E17" s="1">
        <f>$I$17/$I$18*B17*3.14/30+(1-I$18)*$B17*$C17*3.14/30</f>
        <v>121.61375886524829</v>
      </c>
      <c r="F17" s="1">
        <f>J$17/J$18*$B17*3.14/30+(1-J$18)*$B17*$C17*3.14/30</f>
        <v>110.67362318840574</v>
      </c>
      <c r="H17" s="1" t="s">
        <v>278</v>
      </c>
      <c r="I17" s="1">
        <v>1</v>
      </c>
      <c r="J17" s="1">
        <v>0.4</v>
      </c>
      <c r="K17" s="1"/>
    </row>
    <row r="18" spans="2:11" x14ac:dyDescent="0.2">
      <c r="B18" s="1">
        <v>1500</v>
      </c>
      <c r="C18" s="1">
        <v>31</v>
      </c>
      <c r="D18" s="1">
        <v>510</v>
      </c>
      <c r="E18" s="1">
        <f>$I$17/$I$18*B18*3.14/30+(1-I$18)*$B18*$C18*3.14/30</f>
        <v>459.04127659574499</v>
      </c>
      <c r="F18" s="1">
        <f>J$17/J$18*$B18*3.14/30+(1-J$18)*$B18*$C18*3.14/30</f>
        <v>457.62086956521722</v>
      </c>
      <c r="H18" s="1" t="s">
        <v>232</v>
      </c>
      <c r="I18" s="1">
        <v>0.94</v>
      </c>
      <c r="J18" s="1">
        <v>0.92</v>
      </c>
      <c r="K18" s="97" t="s">
        <v>255</v>
      </c>
    </row>
    <row r="19" spans="2:11" ht="14" customHeight="1" x14ac:dyDescent="0.2">
      <c r="B19" s="1">
        <v>2500</v>
      </c>
      <c r="C19" s="1">
        <v>52</v>
      </c>
      <c r="D19" s="1">
        <v>1158</v>
      </c>
      <c r="E19" s="1">
        <f>$I$17/$I$18*B19*3.14/30+(1-I$18)*$B19*$C19*3.14/30</f>
        <v>1094.768794326242</v>
      </c>
      <c r="F19" s="1">
        <f>J$17/J$18*$B19*3.14/30+(1-J$18)*$B19*$C19*3.14/30</f>
        <v>1202.3014492753618</v>
      </c>
      <c r="H19" s="1" t="s">
        <v>279</v>
      </c>
      <c r="I19" s="1">
        <v>105000</v>
      </c>
      <c r="J19" s="1">
        <v>105000</v>
      </c>
      <c r="K19" s="1"/>
    </row>
    <row r="20" spans="2:11" x14ac:dyDescent="0.2">
      <c r="B20" s="143" t="s">
        <v>473</v>
      </c>
      <c r="C20" s="143"/>
      <c r="D20" s="143"/>
      <c r="E20" s="143" t="s">
        <v>474</v>
      </c>
      <c r="F20" s="143"/>
      <c r="H20" s="1" t="s">
        <v>282</v>
      </c>
      <c r="I20" s="1">
        <f>I17/I19</f>
        <v>9.5238095238095231E-6</v>
      </c>
      <c r="J20" s="1">
        <f>J17/J19</f>
        <v>3.8095238095238098E-6</v>
      </c>
      <c r="K20" s="97" t="s">
        <v>285</v>
      </c>
    </row>
  </sheetData>
  <mergeCells count="4">
    <mergeCell ref="B14:K14"/>
    <mergeCell ref="B2:K2"/>
    <mergeCell ref="B20:D20"/>
    <mergeCell ref="E20:F2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16F5C-3663-E04C-BDD1-567866E7C981}">
  <dimension ref="A2:R86"/>
  <sheetViews>
    <sheetView topLeftCell="A63" workbookViewId="0">
      <selection activeCell="H78" sqref="H78"/>
    </sheetView>
  </sheetViews>
  <sheetFormatPr baseColWidth="10" defaultRowHeight="16" x14ac:dyDescent="0.2"/>
  <cols>
    <col min="1" max="1" width="14.1640625" customWidth="1"/>
    <col min="3" max="3" width="12" customWidth="1"/>
    <col min="8" max="8" width="11.6640625" bestFit="1" customWidth="1"/>
  </cols>
  <sheetData>
    <row r="2" spans="3:17" x14ac:dyDescent="0.2">
      <c r="C2" s="126" t="s">
        <v>554</v>
      </c>
      <c r="D2" s="126"/>
      <c r="E2" s="126"/>
      <c r="F2" s="126"/>
    </row>
    <row r="3" spans="3:17" x14ac:dyDescent="0.2">
      <c r="C3" s="127" t="s">
        <v>459</v>
      </c>
      <c r="D3" s="127"/>
      <c r="E3" s="127"/>
      <c r="F3" s="127"/>
      <c r="G3" s="127"/>
      <c r="H3" s="127"/>
      <c r="I3" s="127"/>
      <c r="J3" s="127"/>
      <c r="K3" s="127"/>
      <c r="L3" s="127"/>
      <c r="M3" s="127"/>
      <c r="N3" s="127"/>
      <c r="O3" s="127"/>
      <c r="P3" s="127"/>
      <c r="Q3" s="127"/>
    </row>
    <row r="5" spans="3:17" x14ac:dyDescent="0.2">
      <c r="C5" s="160" t="s">
        <v>131</v>
      </c>
      <c r="D5" s="160"/>
      <c r="E5" s="160"/>
      <c r="F5" s="160"/>
      <c r="G5" s="160"/>
      <c r="H5" s="160"/>
      <c r="I5" s="160"/>
      <c r="J5" s="160"/>
      <c r="K5" s="160"/>
      <c r="L5" s="160"/>
      <c r="M5" s="160"/>
      <c r="N5" s="160"/>
    </row>
    <row r="6" spans="3:17" x14ac:dyDescent="0.2">
      <c r="G6" s="46" t="s">
        <v>113</v>
      </c>
      <c r="H6" s="46" t="s">
        <v>114</v>
      </c>
      <c r="I6" s="46" t="s">
        <v>115</v>
      </c>
      <c r="J6" s="46" t="s">
        <v>116</v>
      </c>
      <c r="K6" s="46" t="s">
        <v>117</v>
      </c>
      <c r="L6" s="46" t="s">
        <v>118</v>
      </c>
    </row>
    <row r="7" spans="3:17" x14ac:dyDescent="0.2">
      <c r="F7" s="41" t="s">
        <v>119</v>
      </c>
      <c r="G7" s="1">
        <v>11.99</v>
      </c>
      <c r="H7" s="1">
        <v>255</v>
      </c>
      <c r="I7" s="1">
        <v>0.16600000000000001</v>
      </c>
      <c r="J7" s="1">
        <v>7.4999999999999997E-2</v>
      </c>
      <c r="K7" s="1">
        <v>0.72</v>
      </c>
      <c r="L7" s="1">
        <v>2.88</v>
      </c>
    </row>
    <row r="8" spans="3:17" x14ac:dyDescent="0.2">
      <c r="F8" s="42" t="s">
        <v>120</v>
      </c>
      <c r="G8" s="23">
        <v>23.27</v>
      </c>
      <c r="H8" s="23">
        <v>616</v>
      </c>
      <c r="I8" s="23">
        <v>0.13900000000000001</v>
      </c>
      <c r="J8" s="23">
        <v>5.3999999999999999E-2</v>
      </c>
      <c r="K8" s="23">
        <v>0.56999999999999995</v>
      </c>
      <c r="L8" s="23">
        <v>3.74</v>
      </c>
    </row>
    <row r="9" spans="3:17" x14ac:dyDescent="0.2">
      <c r="F9" s="42" t="s">
        <v>121</v>
      </c>
      <c r="G9" s="23">
        <v>12.89</v>
      </c>
      <c r="H9" s="23">
        <v>841</v>
      </c>
      <c r="I9" s="23">
        <v>0.19</v>
      </c>
      <c r="J9" s="23">
        <v>3.6999999999999998E-2</v>
      </c>
      <c r="K9" s="23">
        <v>0.99</v>
      </c>
      <c r="L9" s="23">
        <v>6.1</v>
      </c>
    </row>
    <row r="10" spans="3:17" x14ac:dyDescent="0.2">
      <c r="F10" s="41" t="s">
        <v>122</v>
      </c>
      <c r="G10" s="1">
        <v>5.76</v>
      </c>
      <c r="H10" s="1">
        <v>284</v>
      </c>
      <c r="I10" s="1">
        <v>0.19700000000000001</v>
      </c>
      <c r="J10" s="1">
        <v>6.9000000000000006E-2</v>
      </c>
      <c r="K10" s="1">
        <v>0.71</v>
      </c>
      <c r="L10" s="1">
        <v>2.96</v>
      </c>
    </row>
    <row r="11" spans="3:17" x14ac:dyDescent="0.2">
      <c r="F11" s="41" t="s">
        <v>123</v>
      </c>
      <c r="G11" s="1">
        <v>1.9</v>
      </c>
      <c r="H11" s="1">
        <v>81</v>
      </c>
      <c r="I11" s="1">
        <v>0.3</v>
      </c>
      <c r="J11" s="1">
        <v>0.23699999999999999</v>
      </c>
      <c r="K11" s="1">
        <v>0.88</v>
      </c>
      <c r="L11" s="1">
        <v>2.0499999999999998</v>
      </c>
    </row>
    <row r="12" spans="3:17" x14ac:dyDescent="0.2">
      <c r="F12" s="42" t="s">
        <v>124</v>
      </c>
      <c r="G12" s="23">
        <v>10.93</v>
      </c>
      <c r="H12" s="23">
        <v>433</v>
      </c>
      <c r="I12" s="23">
        <v>0.112</v>
      </c>
      <c r="J12" s="23">
        <v>6.6000000000000003E-2</v>
      </c>
      <c r="K12" s="23">
        <v>0.77</v>
      </c>
      <c r="L12" s="23">
        <v>4.0599999999999996</v>
      </c>
    </row>
    <row r="13" spans="3:17" x14ac:dyDescent="0.2">
      <c r="F13" s="41" t="s">
        <v>125</v>
      </c>
      <c r="G13" s="1">
        <v>17.71</v>
      </c>
      <c r="H13" s="1">
        <v>409</v>
      </c>
      <c r="I13" s="1">
        <v>0.22900000000000001</v>
      </c>
      <c r="J13" s="1">
        <v>6.5000000000000002E-2</v>
      </c>
      <c r="K13" s="1">
        <v>1.06</v>
      </c>
      <c r="L13" s="1">
        <v>5</v>
      </c>
    </row>
    <row r="14" spans="3:17" x14ac:dyDescent="0.2">
      <c r="F14" s="42" t="s">
        <v>126</v>
      </c>
      <c r="G14" s="23">
        <v>8.17</v>
      </c>
      <c r="H14" s="23">
        <v>242</v>
      </c>
      <c r="I14" s="23">
        <v>0.16700000000000001</v>
      </c>
      <c r="J14" s="23">
        <v>8.2000000000000003E-2</v>
      </c>
      <c r="K14" s="23">
        <v>0.52</v>
      </c>
      <c r="L14" s="23">
        <v>2.44</v>
      </c>
    </row>
    <row r="15" spans="3:17" x14ac:dyDescent="0.2">
      <c r="F15" s="41" t="s">
        <v>127</v>
      </c>
      <c r="G15" s="1">
        <v>6.34</v>
      </c>
      <c r="H15" s="1">
        <v>252</v>
      </c>
      <c r="I15" s="1">
        <v>0.158</v>
      </c>
      <c r="J15" s="1">
        <v>7.3999999999999996E-2</v>
      </c>
      <c r="K15" s="1">
        <v>0.6</v>
      </c>
      <c r="L15" s="1">
        <v>4.08</v>
      </c>
    </row>
    <row r="16" spans="3:17" x14ac:dyDescent="0.2">
      <c r="F16" s="41" t="s">
        <v>128</v>
      </c>
      <c r="G16" s="1">
        <v>15.46</v>
      </c>
      <c r="H16" s="1">
        <v>180</v>
      </c>
      <c r="I16" s="1">
        <v>0.154</v>
      </c>
      <c r="J16" s="1">
        <v>0.08</v>
      </c>
      <c r="K16" s="1">
        <v>0.72</v>
      </c>
      <c r="L16" s="1">
        <v>2.5499999999999998</v>
      </c>
    </row>
    <row r="17" spans="3:15" x14ac:dyDescent="0.2">
      <c r="F17" s="42" t="s">
        <v>129</v>
      </c>
      <c r="G17" s="23">
        <v>17.77</v>
      </c>
      <c r="H17" s="23">
        <v>296</v>
      </c>
      <c r="I17" s="23">
        <v>0.16400000000000001</v>
      </c>
      <c r="J17" s="23">
        <v>6.9000000000000006E-2</v>
      </c>
      <c r="K17" s="23">
        <v>0.71</v>
      </c>
      <c r="L17" s="23">
        <v>3.05</v>
      </c>
    </row>
    <row r="18" spans="3:15" x14ac:dyDescent="0.2">
      <c r="F18" s="41" t="s">
        <v>130</v>
      </c>
      <c r="G18" s="1">
        <v>11.99</v>
      </c>
      <c r="H18" s="1">
        <v>255</v>
      </c>
      <c r="I18" s="1">
        <v>0.16600000000000001</v>
      </c>
      <c r="J18" s="1">
        <v>7.4999999999999997E-2</v>
      </c>
      <c r="K18" s="1">
        <v>0.72</v>
      </c>
      <c r="L18" s="1">
        <v>2.88</v>
      </c>
    </row>
    <row r="20" spans="3:15" x14ac:dyDescent="0.2">
      <c r="C20" s="138" t="s">
        <v>138</v>
      </c>
      <c r="D20" s="138"/>
      <c r="E20" s="138"/>
      <c r="F20" s="138"/>
      <c r="G20" s="138"/>
      <c r="H20" s="138"/>
      <c r="I20" s="138"/>
      <c r="J20" s="138"/>
      <c r="K20" s="138"/>
      <c r="L20" s="138"/>
      <c r="M20" s="138"/>
      <c r="N20" s="138"/>
      <c r="O20" s="138"/>
    </row>
    <row r="21" spans="3:15" x14ac:dyDescent="0.2">
      <c r="G21" s="46" t="s">
        <v>132</v>
      </c>
      <c r="H21" s="46" t="s">
        <v>113</v>
      </c>
      <c r="I21" s="46" t="s">
        <v>114</v>
      </c>
      <c r="J21" s="46" t="s">
        <v>115</v>
      </c>
      <c r="K21" s="46" t="s">
        <v>116</v>
      </c>
      <c r="L21" s="46" t="s">
        <v>133</v>
      </c>
      <c r="M21" s="46" t="s">
        <v>118</v>
      </c>
    </row>
    <row r="22" spans="3:15" x14ac:dyDescent="0.2">
      <c r="F22" s="41" t="s">
        <v>124</v>
      </c>
      <c r="G22" s="1">
        <v>47.1</v>
      </c>
      <c r="H22" s="1">
        <v>5.15</v>
      </c>
      <c r="I22" s="1">
        <v>142</v>
      </c>
      <c r="J22" s="1">
        <v>0.112</v>
      </c>
      <c r="K22" s="1">
        <v>9.4E-2</v>
      </c>
      <c r="L22" s="1">
        <v>0.71</v>
      </c>
      <c r="M22" s="1">
        <v>4.0599999999999996</v>
      </c>
    </row>
    <row r="23" spans="3:15" x14ac:dyDescent="0.2">
      <c r="F23" s="41" t="s">
        <v>127</v>
      </c>
      <c r="G23" s="1">
        <v>43.6</v>
      </c>
      <c r="H23" s="1">
        <v>2.76</v>
      </c>
      <c r="I23" s="1">
        <v>126</v>
      </c>
      <c r="J23" s="1">
        <v>0.159</v>
      </c>
      <c r="K23" s="1">
        <v>9.9000000000000005E-2</v>
      </c>
      <c r="L23" s="1">
        <v>0.62</v>
      </c>
      <c r="M23" s="1">
        <v>4.08</v>
      </c>
    </row>
    <row r="24" spans="3:15" x14ac:dyDescent="0.2">
      <c r="F24" s="41" t="s">
        <v>128</v>
      </c>
      <c r="G24" s="1">
        <v>99.9</v>
      </c>
      <c r="H24" s="1">
        <v>15.45</v>
      </c>
      <c r="I24" s="1">
        <v>180</v>
      </c>
      <c r="J24" s="1">
        <v>0.154</v>
      </c>
      <c r="K24" s="1">
        <v>7.9000000000000001E-2</v>
      </c>
      <c r="L24" s="1">
        <v>0.69</v>
      </c>
      <c r="M24" s="1">
        <v>2.5499999999999998</v>
      </c>
    </row>
    <row r="25" spans="3:15" x14ac:dyDescent="0.2">
      <c r="F25" s="41" t="s">
        <v>129</v>
      </c>
      <c r="G25" s="1">
        <v>66.900000000000006</v>
      </c>
      <c r="H25" s="1">
        <v>11.89</v>
      </c>
      <c r="I25" s="1">
        <v>168</v>
      </c>
      <c r="J25" s="1">
        <v>0.185</v>
      </c>
      <c r="K25" s="1">
        <v>8.2000000000000003E-2</v>
      </c>
      <c r="L25" s="1">
        <v>0.75</v>
      </c>
      <c r="M25" s="1">
        <v>3.05</v>
      </c>
    </row>
    <row r="26" spans="3:15" x14ac:dyDescent="0.2">
      <c r="F26" s="41" t="s">
        <v>119</v>
      </c>
      <c r="G26" s="1">
        <v>75.5</v>
      </c>
      <c r="H26" s="1">
        <v>9.0500000000000007</v>
      </c>
      <c r="I26" s="1">
        <v>158</v>
      </c>
      <c r="J26" s="1">
        <v>0.18</v>
      </c>
      <c r="K26" s="1">
        <v>8.5000000000000006E-2</v>
      </c>
      <c r="L26" s="1">
        <v>0.74</v>
      </c>
      <c r="M26" s="1">
        <v>2.88</v>
      </c>
    </row>
    <row r="27" spans="3:15" x14ac:dyDescent="0.2">
      <c r="F27" s="41" t="s">
        <v>130</v>
      </c>
      <c r="G27" s="1">
        <v>75.5</v>
      </c>
      <c r="H27" s="1">
        <v>9.0500000000000007</v>
      </c>
      <c r="I27" s="1">
        <v>158</v>
      </c>
      <c r="J27" s="1">
        <v>0.18</v>
      </c>
      <c r="K27" s="1">
        <v>8.5000000000000006E-2</v>
      </c>
      <c r="L27" s="1">
        <v>0.74</v>
      </c>
      <c r="M27" s="1">
        <v>2.88</v>
      </c>
    </row>
    <row r="28" spans="3:15" x14ac:dyDescent="0.2">
      <c r="F28" s="41" t="s">
        <v>120</v>
      </c>
      <c r="G28" s="1">
        <v>22.8</v>
      </c>
      <c r="H28" s="1">
        <v>5.3</v>
      </c>
      <c r="I28" s="1">
        <v>141</v>
      </c>
      <c r="J28" s="1">
        <v>0.22800000000000001</v>
      </c>
      <c r="K28" s="1">
        <v>9.7000000000000003E-2</v>
      </c>
      <c r="L28" s="1">
        <v>0.62</v>
      </c>
      <c r="M28" s="1">
        <v>3.74</v>
      </c>
    </row>
    <row r="29" spans="3:15" x14ac:dyDescent="0.2">
      <c r="F29" s="41" t="s">
        <v>122</v>
      </c>
      <c r="G29" s="1">
        <v>50.6</v>
      </c>
      <c r="H29" s="1">
        <v>2.92</v>
      </c>
      <c r="I29" s="1">
        <v>167</v>
      </c>
      <c r="J29" s="1">
        <v>0.189</v>
      </c>
      <c r="K29" s="1">
        <v>8.5000000000000006E-2</v>
      </c>
      <c r="L29" s="1">
        <v>0.81</v>
      </c>
      <c r="M29" s="1">
        <v>2.96</v>
      </c>
    </row>
    <row r="30" spans="3:15" x14ac:dyDescent="0.2">
      <c r="F30" s="41" t="s">
        <v>126</v>
      </c>
      <c r="G30" s="1">
        <v>50.6</v>
      </c>
      <c r="H30" s="1">
        <v>4.1399999999999997</v>
      </c>
      <c r="I30" s="1">
        <v>130</v>
      </c>
      <c r="J30" s="1">
        <v>0.18099999999999999</v>
      </c>
      <c r="K30" s="1">
        <v>0.105</v>
      </c>
      <c r="L30" s="1">
        <v>0.53</v>
      </c>
      <c r="M30" s="1">
        <v>2.44</v>
      </c>
    </row>
    <row r="31" spans="3:15" x14ac:dyDescent="0.2">
      <c r="F31" s="42" t="s">
        <v>134</v>
      </c>
      <c r="G31" s="43">
        <f t="shared" ref="G31:L31" si="0">AVERAGE(G22:G30)</f>
        <v>59.166666666666664</v>
      </c>
      <c r="H31" s="43">
        <f t="shared" si="0"/>
        <v>7.3011111111111102</v>
      </c>
      <c r="I31" s="43">
        <f t="shared" si="0"/>
        <v>152.22222222222223</v>
      </c>
      <c r="J31" s="45">
        <f t="shared" si="0"/>
        <v>0.17422222222222222</v>
      </c>
      <c r="K31" s="45">
        <f t="shared" si="0"/>
        <v>9.01111111111111E-2</v>
      </c>
      <c r="L31" s="23">
        <f t="shared" si="0"/>
        <v>0.69</v>
      </c>
      <c r="M31" s="44">
        <f>AVERAGE(M22:M30)</f>
        <v>3.1822222222222227</v>
      </c>
    </row>
    <row r="32" spans="3:15" x14ac:dyDescent="0.2">
      <c r="F32" s="41" t="s">
        <v>125</v>
      </c>
      <c r="G32" s="1">
        <v>43.8</v>
      </c>
      <c r="H32" s="1">
        <v>7.76</v>
      </c>
      <c r="I32" s="1">
        <v>171</v>
      </c>
      <c r="J32" s="1">
        <v>0.27500000000000002</v>
      </c>
      <c r="K32" s="1">
        <v>9.0999999999999998E-2</v>
      </c>
      <c r="L32" s="1">
        <v>1</v>
      </c>
      <c r="M32" s="1">
        <v>5</v>
      </c>
    </row>
    <row r="33" spans="3:15" x14ac:dyDescent="0.2">
      <c r="F33" s="41" t="s">
        <v>123</v>
      </c>
      <c r="G33" s="1">
        <v>99.8</v>
      </c>
      <c r="H33" s="1">
        <v>1.9</v>
      </c>
      <c r="I33" s="1">
        <v>82</v>
      </c>
      <c r="J33" s="1">
        <v>0.3</v>
      </c>
      <c r="K33" s="1">
        <v>0.154</v>
      </c>
      <c r="L33" s="1">
        <v>0.89</v>
      </c>
      <c r="M33" s="1">
        <v>2.0499999999999998</v>
      </c>
    </row>
    <row r="34" spans="3:15" x14ac:dyDescent="0.2">
      <c r="F34" s="42" t="s">
        <v>135</v>
      </c>
      <c r="G34" s="23">
        <f t="shared" ref="G34:M34" si="1">AVERAGE(G32:G33)</f>
        <v>71.8</v>
      </c>
      <c r="H34" s="23">
        <f t="shared" si="1"/>
        <v>4.83</v>
      </c>
      <c r="I34" s="23">
        <f t="shared" si="1"/>
        <v>126.5</v>
      </c>
      <c r="J34" s="23">
        <f t="shared" si="1"/>
        <v>0.28749999999999998</v>
      </c>
      <c r="K34" s="23">
        <f t="shared" si="1"/>
        <v>0.1225</v>
      </c>
      <c r="L34" s="23">
        <f t="shared" si="1"/>
        <v>0.94500000000000006</v>
      </c>
      <c r="M34" s="23">
        <f t="shared" si="1"/>
        <v>3.5249999999999999</v>
      </c>
    </row>
    <row r="36" spans="3:15" x14ac:dyDescent="0.2">
      <c r="C36" s="159" t="s">
        <v>137</v>
      </c>
      <c r="D36" s="159"/>
      <c r="E36" s="159"/>
      <c r="F36" s="159"/>
      <c r="G36" s="159"/>
      <c r="H36" s="159"/>
      <c r="I36" s="159"/>
      <c r="J36" s="159"/>
      <c r="K36" s="159"/>
      <c r="L36" s="159"/>
      <c r="M36" s="159"/>
      <c r="N36" s="159"/>
      <c r="O36" s="159"/>
    </row>
    <row r="37" spans="3:15" x14ac:dyDescent="0.2">
      <c r="G37" s="41" t="s">
        <v>132</v>
      </c>
      <c r="H37" s="41" t="s">
        <v>113</v>
      </c>
      <c r="I37" s="41" t="s">
        <v>114</v>
      </c>
      <c r="J37" s="41" t="s">
        <v>115</v>
      </c>
      <c r="K37" s="41" t="s">
        <v>116</v>
      </c>
      <c r="L37" s="41" t="s">
        <v>133</v>
      </c>
      <c r="M37" s="41" t="s">
        <v>118</v>
      </c>
    </row>
    <row r="38" spans="3:15" x14ac:dyDescent="0.2">
      <c r="F38" s="41" t="s">
        <v>120</v>
      </c>
      <c r="G38" s="1">
        <v>24.5</v>
      </c>
      <c r="H38" s="1">
        <v>5.69</v>
      </c>
      <c r="I38" s="1">
        <v>330</v>
      </c>
      <c r="J38" s="1">
        <v>0.17799999999999999</v>
      </c>
      <c r="K38" s="1">
        <v>5.7000000000000002E-2</v>
      </c>
      <c r="L38" s="1">
        <v>0.66</v>
      </c>
      <c r="M38" s="1">
        <v>3.74</v>
      </c>
    </row>
    <row r="39" spans="3:15" x14ac:dyDescent="0.2">
      <c r="F39" s="41" t="s">
        <v>124</v>
      </c>
      <c r="G39" s="1">
        <v>22.8</v>
      </c>
      <c r="H39" s="1">
        <v>2.5</v>
      </c>
      <c r="I39" s="1">
        <v>378</v>
      </c>
      <c r="J39" s="1">
        <v>3.6999999999999998E-2</v>
      </c>
      <c r="K39" s="1">
        <v>5.0999999999999997E-2</v>
      </c>
      <c r="L39" s="1">
        <v>0.69</v>
      </c>
      <c r="M39" s="1">
        <v>4.0599999999999996</v>
      </c>
    </row>
    <row r="40" spans="3:15" x14ac:dyDescent="0.2">
      <c r="F40" s="41" t="s">
        <v>126</v>
      </c>
      <c r="G40" s="1">
        <v>26.4</v>
      </c>
      <c r="H40" s="1">
        <v>2.15</v>
      </c>
      <c r="I40" s="1">
        <v>274</v>
      </c>
      <c r="J40" s="1">
        <v>0.161</v>
      </c>
      <c r="K40" s="1">
        <v>6.0999999999999999E-2</v>
      </c>
      <c r="L40" s="1">
        <v>0.46</v>
      </c>
      <c r="M40" s="1">
        <v>2.44</v>
      </c>
    </row>
    <row r="41" spans="3:15" x14ac:dyDescent="0.2">
      <c r="F41" s="42" t="s">
        <v>136</v>
      </c>
      <c r="G41" s="43">
        <f>AVERAGE(G38:G40)</f>
        <v>24.566666666666663</v>
      </c>
      <c r="H41" s="43">
        <f>AVERAGE(H38:H40)</f>
        <v>3.4466666666666672</v>
      </c>
      <c r="I41" s="43">
        <f t="shared" ref="I41:M41" si="2">AVERAGE(I38:I40)</f>
        <v>327.33333333333331</v>
      </c>
      <c r="J41" s="45">
        <f t="shared" si="2"/>
        <v>0.12533333333333332</v>
      </c>
      <c r="K41" s="45">
        <f t="shared" si="2"/>
        <v>5.6333333333333326E-2</v>
      </c>
      <c r="L41" s="44">
        <f t="shared" si="2"/>
        <v>0.60333333333333339</v>
      </c>
      <c r="M41" s="44">
        <f t="shared" si="2"/>
        <v>3.4133333333333336</v>
      </c>
    </row>
    <row r="43" spans="3:15" x14ac:dyDescent="0.2">
      <c r="C43" s="156" t="s">
        <v>139</v>
      </c>
      <c r="D43" s="157"/>
      <c r="E43" s="157"/>
      <c r="F43" s="157"/>
      <c r="G43" s="157"/>
      <c r="H43" s="157"/>
      <c r="I43" s="157"/>
      <c r="J43" s="157"/>
      <c r="K43" s="157"/>
      <c r="L43" s="157"/>
      <c r="M43" s="157"/>
      <c r="N43" s="157"/>
      <c r="O43" s="158"/>
    </row>
    <row r="44" spans="3:15" x14ac:dyDescent="0.2">
      <c r="F44" s="47"/>
      <c r="G44" s="50" t="s">
        <v>132</v>
      </c>
      <c r="H44" s="55" t="s">
        <v>113</v>
      </c>
      <c r="I44" s="55" t="s">
        <v>114</v>
      </c>
      <c r="J44" s="55" t="s">
        <v>115</v>
      </c>
      <c r="K44" s="55" t="s">
        <v>116</v>
      </c>
      <c r="L44" s="55" t="s">
        <v>133</v>
      </c>
      <c r="M44" s="55" t="s">
        <v>118</v>
      </c>
    </row>
    <row r="45" spans="3:15" x14ac:dyDescent="0.2">
      <c r="F45" s="48" t="s">
        <v>119</v>
      </c>
      <c r="G45" s="49">
        <v>24.5</v>
      </c>
      <c r="H45" s="49">
        <v>2.93</v>
      </c>
      <c r="I45" s="49">
        <v>556</v>
      </c>
      <c r="J45" s="49">
        <v>4.9000000000000002E-2</v>
      </c>
      <c r="K45" s="49">
        <v>4.2999999999999997E-2</v>
      </c>
      <c r="L45" s="49">
        <v>0.48</v>
      </c>
      <c r="M45" s="49">
        <v>2.88</v>
      </c>
    </row>
    <row r="46" spans="3:15" x14ac:dyDescent="0.2">
      <c r="F46" s="50" t="s">
        <v>120</v>
      </c>
      <c r="G46" s="49">
        <v>20.399999999999999</v>
      </c>
      <c r="H46" s="49">
        <v>4.74</v>
      </c>
      <c r="I46" s="49">
        <v>634</v>
      </c>
      <c r="J46" s="49">
        <v>6.6000000000000003E-2</v>
      </c>
      <c r="K46" s="49">
        <v>0.04</v>
      </c>
      <c r="L46" s="49">
        <v>0.54</v>
      </c>
      <c r="M46" s="49">
        <v>3.74</v>
      </c>
    </row>
    <row r="47" spans="3:15" x14ac:dyDescent="0.2">
      <c r="F47" s="50" t="s">
        <v>121</v>
      </c>
      <c r="G47" s="49">
        <v>19.399999999999999</v>
      </c>
      <c r="H47" s="49">
        <v>2.5099999999999998</v>
      </c>
      <c r="I47" s="49">
        <v>565</v>
      </c>
      <c r="J47" s="49">
        <v>7.0999999999999994E-2</v>
      </c>
      <c r="K47" s="49">
        <v>4.2999999999999997E-2</v>
      </c>
      <c r="L47" s="49">
        <v>1.3</v>
      </c>
      <c r="M47" s="49">
        <v>6.1</v>
      </c>
    </row>
    <row r="48" spans="3:15" x14ac:dyDescent="0.2">
      <c r="F48" s="50" t="s">
        <v>122</v>
      </c>
      <c r="G48" s="49">
        <v>49.3</v>
      </c>
      <c r="H48" s="49">
        <v>2.84</v>
      </c>
      <c r="I48" s="49">
        <v>405</v>
      </c>
      <c r="J48" s="49">
        <v>0.03</v>
      </c>
      <c r="K48" s="49">
        <v>5.1999999999999998E-2</v>
      </c>
      <c r="L48" s="49">
        <v>0.57999999999999996</v>
      </c>
      <c r="M48" s="49">
        <v>2.96</v>
      </c>
    </row>
    <row r="49" spans="3:15" x14ac:dyDescent="0.2">
      <c r="F49" s="50" t="s">
        <v>125</v>
      </c>
      <c r="G49" s="49">
        <v>35.700000000000003</v>
      </c>
      <c r="H49" s="49">
        <v>6.33</v>
      </c>
      <c r="I49" s="49">
        <v>477</v>
      </c>
      <c r="J49" s="49">
        <v>0.18</v>
      </c>
      <c r="K49" s="49">
        <v>4.9000000000000002E-2</v>
      </c>
      <c r="L49" s="49">
        <v>1.26</v>
      </c>
      <c r="M49" s="49">
        <v>5</v>
      </c>
    </row>
    <row r="50" spans="3:15" x14ac:dyDescent="0.2">
      <c r="F50" s="50" t="s">
        <v>126</v>
      </c>
      <c r="G50" s="49">
        <v>22.4</v>
      </c>
      <c r="H50" s="49">
        <v>1.83</v>
      </c>
      <c r="I50" s="49">
        <v>460</v>
      </c>
      <c r="J50" s="49">
        <v>0.157</v>
      </c>
      <c r="K50" s="49">
        <v>4.9000000000000002E-2</v>
      </c>
      <c r="L50" s="49">
        <v>0.49</v>
      </c>
      <c r="M50" s="49">
        <v>2.44</v>
      </c>
    </row>
    <row r="51" spans="3:15" x14ac:dyDescent="0.2">
      <c r="F51" s="50" t="s">
        <v>127</v>
      </c>
      <c r="G51" s="49">
        <v>44.1</v>
      </c>
      <c r="H51" s="49">
        <v>2.8</v>
      </c>
      <c r="I51" s="49">
        <v>369</v>
      </c>
      <c r="J51" s="49">
        <v>7.5999999999999998E-2</v>
      </c>
      <c r="K51" s="49">
        <v>5.1999999999999998E-2</v>
      </c>
      <c r="L51" s="49">
        <v>0.57999999999999996</v>
      </c>
      <c r="M51" s="49">
        <v>4.08</v>
      </c>
    </row>
    <row r="52" spans="3:15" x14ac:dyDescent="0.2">
      <c r="F52" s="50" t="s">
        <v>129</v>
      </c>
      <c r="G52" s="49">
        <v>33</v>
      </c>
      <c r="H52" s="49">
        <v>5.87</v>
      </c>
      <c r="I52" s="49">
        <v>556</v>
      </c>
      <c r="J52" s="49">
        <v>4.9000000000000002E-2</v>
      </c>
      <c r="K52" s="49">
        <v>4.2999999999999997E-2</v>
      </c>
      <c r="L52" s="49">
        <v>0.48</v>
      </c>
      <c r="M52" s="49">
        <v>3.05</v>
      </c>
    </row>
    <row r="53" spans="3:15" x14ac:dyDescent="0.2">
      <c r="F53" s="50" t="s">
        <v>130</v>
      </c>
      <c r="G53" s="49">
        <v>24.5</v>
      </c>
      <c r="H53" s="49">
        <v>2.93</v>
      </c>
      <c r="I53" s="49">
        <v>556</v>
      </c>
      <c r="J53" s="49">
        <v>4.9000000000000002E-2</v>
      </c>
      <c r="K53" s="49">
        <v>4.2999999999999997E-2</v>
      </c>
      <c r="L53" s="49">
        <v>0.48</v>
      </c>
      <c r="M53" s="49">
        <v>2.88</v>
      </c>
    </row>
    <row r="54" spans="3:15" x14ac:dyDescent="0.2">
      <c r="F54" s="51" t="s">
        <v>136</v>
      </c>
      <c r="G54" s="52">
        <v>30</v>
      </c>
      <c r="H54" s="52">
        <v>4</v>
      </c>
      <c r="I54" s="52">
        <v>509</v>
      </c>
      <c r="J54" s="54">
        <v>8.1000000000000003E-2</v>
      </c>
      <c r="K54" s="54">
        <v>4.5999999999999999E-2</v>
      </c>
      <c r="L54" s="53">
        <v>0.69</v>
      </c>
      <c r="M54" s="53">
        <v>3.68</v>
      </c>
    </row>
    <row r="56" spans="3:15" x14ac:dyDescent="0.2">
      <c r="C56" s="153" t="s">
        <v>142</v>
      </c>
      <c r="D56" s="154"/>
      <c r="E56" s="154"/>
      <c r="F56" s="154"/>
      <c r="G56" s="154"/>
      <c r="H56" s="154"/>
      <c r="I56" s="154"/>
      <c r="J56" s="154"/>
      <c r="K56" s="154"/>
      <c r="L56" s="154"/>
      <c r="M56" s="154"/>
      <c r="N56" s="154"/>
      <c r="O56" s="155"/>
    </row>
    <row r="57" spans="3:15" x14ac:dyDescent="0.2">
      <c r="G57" s="46" t="s">
        <v>132</v>
      </c>
      <c r="H57" s="46" t="s">
        <v>113</v>
      </c>
      <c r="I57" s="46" t="s">
        <v>114</v>
      </c>
      <c r="J57" s="46" t="s">
        <v>115</v>
      </c>
      <c r="K57" s="46" t="s">
        <v>116</v>
      </c>
      <c r="L57" s="46" t="s">
        <v>133</v>
      </c>
      <c r="M57" s="46" t="s">
        <v>118</v>
      </c>
    </row>
    <row r="58" spans="3:15" x14ac:dyDescent="0.2">
      <c r="F58" s="42" t="s">
        <v>140</v>
      </c>
      <c r="G58" s="23">
        <v>32.4</v>
      </c>
      <c r="H58" s="23">
        <v>7.53</v>
      </c>
      <c r="I58" s="23">
        <v>1155</v>
      </c>
      <c r="J58" s="23">
        <v>1.9E-2</v>
      </c>
      <c r="K58" s="23">
        <v>0.03</v>
      </c>
      <c r="L58" s="23">
        <v>0.42</v>
      </c>
      <c r="M58" s="23">
        <v>3.74</v>
      </c>
    </row>
    <row r="59" spans="3:15" x14ac:dyDescent="0.2">
      <c r="F59" s="41" t="s">
        <v>121</v>
      </c>
      <c r="G59" s="1">
        <v>77.2</v>
      </c>
      <c r="H59" s="1">
        <v>9.94</v>
      </c>
      <c r="I59" s="1">
        <v>940</v>
      </c>
      <c r="J59" s="1">
        <v>7.5999999999999998E-2</v>
      </c>
      <c r="K59" s="1">
        <v>3.3000000000000002E-2</v>
      </c>
      <c r="L59" s="1">
        <v>0.71</v>
      </c>
      <c r="M59" s="1">
        <v>6.1</v>
      </c>
    </row>
    <row r="60" spans="3:15" x14ac:dyDescent="0.2">
      <c r="F60" s="41" t="s">
        <v>125</v>
      </c>
      <c r="G60" s="1">
        <v>20.3</v>
      </c>
      <c r="H60" s="1">
        <v>3.59</v>
      </c>
      <c r="I60" s="1">
        <v>804</v>
      </c>
      <c r="J60" s="1">
        <v>6.6000000000000003E-2</v>
      </c>
      <c r="K60" s="1">
        <v>3.5000000000000003E-2</v>
      </c>
      <c r="L60" s="1">
        <v>0.84</v>
      </c>
      <c r="M60" s="1">
        <v>5</v>
      </c>
    </row>
    <row r="61" spans="3:15" x14ac:dyDescent="0.2">
      <c r="F61" s="42" t="s">
        <v>141</v>
      </c>
      <c r="G61" s="23">
        <f t="shared" ref="G61:M61" si="3">AVERAGE(G59:G60)</f>
        <v>48.75</v>
      </c>
      <c r="H61" s="23">
        <f t="shared" si="3"/>
        <v>6.7649999999999997</v>
      </c>
      <c r="I61" s="23">
        <f t="shared" si="3"/>
        <v>872</v>
      </c>
      <c r="J61" s="23">
        <f t="shared" si="3"/>
        <v>7.1000000000000008E-2</v>
      </c>
      <c r="K61" s="23">
        <f t="shared" si="3"/>
        <v>3.4000000000000002E-2</v>
      </c>
      <c r="L61" s="23">
        <f t="shared" si="3"/>
        <v>0.77499999999999991</v>
      </c>
      <c r="M61" s="23">
        <f t="shared" si="3"/>
        <v>5.55</v>
      </c>
    </row>
    <row r="62" spans="3:15" x14ac:dyDescent="0.2">
      <c r="F62" s="114"/>
    </row>
    <row r="63" spans="3:15" x14ac:dyDescent="0.2">
      <c r="F63" s="114"/>
    </row>
    <row r="64" spans="3:15" x14ac:dyDescent="0.2">
      <c r="C64" s="135" t="s">
        <v>485</v>
      </c>
      <c r="D64" s="136"/>
      <c r="E64" s="136"/>
      <c r="F64" s="136"/>
      <c r="G64" s="136"/>
      <c r="H64" s="136"/>
      <c r="I64" s="136"/>
      <c r="J64" s="136"/>
      <c r="K64" s="136"/>
      <c r="L64" s="136"/>
      <c r="M64" s="136"/>
      <c r="N64" s="136"/>
      <c r="O64" s="137"/>
    </row>
    <row r="65" spans="2:18" x14ac:dyDescent="0.2">
      <c r="F65" s="41" t="s">
        <v>486</v>
      </c>
      <c r="G65" s="1" t="s">
        <v>487</v>
      </c>
      <c r="H65" s="1" t="s">
        <v>237</v>
      </c>
    </row>
    <row r="66" spans="2:18" x14ac:dyDescent="0.2">
      <c r="F66" s="117" t="s">
        <v>489</v>
      </c>
      <c r="G66" s="1">
        <v>0.02</v>
      </c>
      <c r="H66" s="1" t="s">
        <v>410</v>
      </c>
    </row>
    <row r="67" spans="2:18" ht="15" customHeight="1" x14ac:dyDescent="0.2">
      <c r="F67" s="13" t="s">
        <v>488</v>
      </c>
      <c r="G67" s="1">
        <v>4</v>
      </c>
      <c r="H67" s="1" t="s">
        <v>523</v>
      </c>
    </row>
    <row r="68" spans="2:18" ht="15" customHeight="1" x14ac:dyDescent="0.2"/>
    <row r="69" spans="2:18" ht="15" customHeight="1" x14ac:dyDescent="0.2">
      <c r="B69" s="128" t="s">
        <v>462</v>
      </c>
      <c r="C69" s="129"/>
      <c r="D69" s="129"/>
      <c r="E69" s="129"/>
      <c r="F69" s="129"/>
      <c r="G69" s="129"/>
      <c r="H69" s="129"/>
      <c r="I69" s="129"/>
      <c r="J69" s="129"/>
      <c r="K69" s="129"/>
      <c r="L69" s="129"/>
      <c r="M69" s="129"/>
      <c r="N69" s="129"/>
      <c r="O69" s="129"/>
      <c r="P69" s="129"/>
      <c r="Q69" s="129"/>
      <c r="R69" s="130"/>
    </row>
    <row r="70" spans="2:18" ht="15" customHeight="1" x14ac:dyDescent="0.2"/>
    <row r="71" spans="2:18" x14ac:dyDescent="0.2">
      <c r="D71" s="135" t="s">
        <v>484</v>
      </c>
      <c r="E71" s="136"/>
      <c r="F71" s="136"/>
      <c r="G71" s="136"/>
      <c r="H71" s="136"/>
      <c r="I71" s="136"/>
      <c r="J71" s="136"/>
      <c r="K71" s="136"/>
      <c r="L71" s="136"/>
      <c r="M71" s="137"/>
      <c r="O71" s="138" t="s">
        <v>529</v>
      </c>
      <c r="P71" s="138"/>
      <c r="Q71" s="138"/>
      <c r="R71" s="138"/>
    </row>
    <row r="72" spans="2:18" x14ac:dyDescent="0.2">
      <c r="D72" s="1"/>
      <c r="E72" s="1" t="s">
        <v>475</v>
      </c>
      <c r="F72" s="1" t="s">
        <v>476</v>
      </c>
      <c r="G72" s="1" t="s">
        <v>477</v>
      </c>
      <c r="H72" s="1" t="s">
        <v>478</v>
      </c>
      <c r="I72" s="1" t="s">
        <v>479</v>
      </c>
      <c r="J72" s="1" t="s">
        <v>561</v>
      </c>
      <c r="K72" s="1" t="s">
        <v>562</v>
      </c>
      <c r="L72" s="1" t="s">
        <v>480</v>
      </c>
      <c r="M72" s="1" t="s">
        <v>481</v>
      </c>
      <c r="P72" s="32" t="s">
        <v>124</v>
      </c>
      <c r="Q72" s="32" t="s">
        <v>121</v>
      </c>
    </row>
    <row r="73" spans="2:18" x14ac:dyDescent="0.2">
      <c r="D73" s="1" t="s">
        <v>494</v>
      </c>
      <c r="E73" s="1">
        <v>616</v>
      </c>
      <c r="F73" s="1">
        <v>460</v>
      </c>
      <c r="G73" s="1">
        <v>242</v>
      </c>
      <c r="H73" s="1">
        <v>134</v>
      </c>
      <c r="I73" s="1">
        <v>110</v>
      </c>
      <c r="J73" s="1">
        <v>315</v>
      </c>
      <c r="K73" s="1">
        <v>606</v>
      </c>
      <c r="L73" s="1">
        <v>896</v>
      </c>
      <c r="M73" s="1">
        <v>1155</v>
      </c>
      <c r="P73" s="1">
        <v>433</v>
      </c>
      <c r="Q73" s="1">
        <v>842</v>
      </c>
    </row>
    <row r="74" spans="2:18" x14ac:dyDescent="0.2">
      <c r="D74" s="1" t="s">
        <v>495</v>
      </c>
      <c r="E74" s="1">
        <v>0.14000000000000001</v>
      </c>
      <c r="F74" s="1">
        <v>0.126</v>
      </c>
      <c r="G74" s="1">
        <v>0.17</v>
      </c>
      <c r="H74" s="1">
        <v>0.19600000000000001</v>
      </c>
      <c r="I74" s="1">
        <v>0.3</v>
      </c>
      <c r="J74" s="1">
        <v>0.14399999999999999</v>
      </c>
      <c r="K74" s="1">
        <v>9.7000000000000003E-2</v>
      </c>
      <c r="L74" s="1">
        <v>0.06</v>
      </c>
      <c r="M74" s="1">
        <v>0.01</v>
      </c>
      <c r="P74" s="1">
        <v>0.112</v>
      </c>
      <c r="Q74" s="1">
        <v>0.19500000000000001</v>
      </c>
    </row>
    <row r="75" spans="2:18" x14ac:dyDescent="0.2">
      <c r="D75" s="1" t="s">
        <v>496</v>
      </c>
      <c r="E75" s="1">
        <v>2.1150000000000002</v>
      </c>
      <c r="F75" s="1">
        <v>1.8240000000000001</v>
      </c>
      <c r="G75" s="1">
        <v>1.865</v>
      </c>
      <c r="H75" s="1">
        <v>1.6040000000000001</v>
      </c>
      <c r="I75" s="1">
        <v>2.2930000000000001</v>
      </c>
      <c r="J75" s="1">
        <v>1.8859999999999999</v>
      </c>
      <c r="K75" s="1">
        <v>1.89</v>
      </c>
      <c r="L75" s="1">
        <v>4.79</v>
      </c>
      <c r="M75" s="1">
        <v>2.4350000000000001</v>
      </c>
      <c r="P75" s="1">
        <v>1.6930000000000001</v>
      </c>
      <c r="Q75" s="1">
        <v>4.0819999999999999</v>
      </c>
    </row>
    <row r="76" spans="2:18" x14ac:dyDescent="0.2">
      <c r="D76" s="1" t="s">
        <v>482</v>
      </c>
      <c r="E76" s="1">
        <v>0.80400000000000005</v>
      </c>
      <c r="F76" s="1">
        <v>0.84299999999999997</v>
      </c>
      <c r="G76" s="1">
        <v>0.80900000000000005</v>
      </c>
      <c r="H76" s="1">
        <v>0.80700000000000005</v>
      </c>
      <c r="I76" s="1">
        <v>0.79500000000000004</v>
      </c>
      <c r="J76" s="1">
        <v>0.81899999999999995</v>
      </c>
      <c r="K76" s="1">
        <v>0.83</v>
      </c>
      <c r="L76" s="1">
        <v>0.85</v>
      </c>
      <c r="M76" s="1">
        <v>0.80400000000000005</v>
      </c>
      <c r="P76" s="1">
        <v>0.86099999999999999</v>
      </c>
      <c r="Q76" s="1">
        <v>0.86899999999999999</v>
      </c>
    </row>
    <row r="77" spans="2:18" x14ac:dyDescent="0.2">
      <c r="D77" s="1" t="s">
        <v>493</v>
      </c>
      <c r="E77" s="1">
        <v>5.3999999999999999E-2</v>
      </c>
      <c r="F77" s="1">
        <v>5.5E-2</v>
      </c>
      <c r="G77" s="1">
        <v>0.1</v>
      </c>
      <c r="H77" s="1">
        <v>0.112</v>
      </c>
      <c r="I77" s="1">
        <v>0.16900000000000001</v>
      </c>
      <c r="J77" s="1">
        <v>5.6000000000000001E-2</v>
      </c>
      <c r="K77" s="1">
        <v>4.1000000000000002E-2</v>
      </c>
      <c r="L77" s="1">
        <v>3.4000000000000002E-2</v>
      </c>
      <c r="M77" s="1">
        <v>0.03</v>
      </c>
      <c r="P77" s="1">
        <v>6.6000000000000003E-2</v>
      </c>
      <c r="Q77" s="1">
        <v>3.6999999999999998E-2</v>
      </c>
    </row>
    <row r="78" spans="2:18" x14ac:dyDescent="0.2">
      <c r="D78" s="1" t="s">
        <v>489</v>
      </c>
      <c r="E78" s="1">
        <v>2E-3</v>
      </c>
      <c r="F78" s="1">
        <v>2E-3</v>
      </c>
      <c r="G78" s="1">
        <v>2E-3</v>
      </c>
      <c r="H78" s="1">
        <v>2E-3</v>
      </c>
      <c r="I78" s="1">
        <v>2E-3</v>
      </c>
      <c r="J78" s="1">
        <v>2E-3</v>
      </c>
      <c r="K78" s="1">
        <v>2E-3</v>
      </c>
      <c r="L78" s="1">
        <v>2E-3</v>
      </c>
      <c r="M78" s="1">
        <v>2E-3</v>
      </c>
      <c r="P78" s="1">
        <v>2E-3</v>
      </c>
      <c r="Q78" s="1">
        <v>2E-3</v>
      </c>
    </row>
    <row r="79" spans="2:18" x14ac:dyDescent="0.2">
      <c r="D79" s="1" t="s">
        <v>490</v>
      </c>
      <c r="E79" s="1">
        <v>4</v>
      </c>
      <c r="F79" s="1">
        <v>4</v>
      </c>
      <c r="G79" s="1">
        <v>4</v>
      </c>
      <c r="H79" s="1">
        <v>4</v>
      </c>
      <c r="I79" s="1">
        <v>4</v>
      </c>
      <c r="J79" s="1">
        <v>4</v>
      </c>
      <c r="K79" s="1">
        <v>4</v>
      </c>
      <c r="L79" s="1">
        <v>4</v>
      </c>
      <c r="M79" s="1">
        <v>4</v>
      </c>
      <c r="P79" s="1">
        <v>4</v>
      </c>
      <c r="Q79" s="1">
        <v>4</v>
      </c>
    </row>
    <row r="80" spans="2:18" x14ac:dyDescent="0.2">
      <c r="D80" s="1" t="s">
        <v>483</v>
      </c>
      <c r="E80" s="1">
        <v>0.47299999999999998</v>
      </c>
      <c r="F80" s="1">
        <v>0.38800000000000001</v>
      </c>
      <c r="G80" s="1">
        <v>0.81100000000000005</v>
      </c>
      <c r="H80" s="1">
        <v>1</v>
      </c>
      <c r="I80" s="1">
        <v>1</v>
      </c>
      <c r="J80" s="1">
        <v>1</v>
      </c>
      <c r="K80" s="1">
        <v>0</v>
      </c>
      <c r="L80" s="1">
        <v>0</v>
      </c>
      <c r="M80" s="1">
        <v>0</v>
      </c>
      <c r="P80" s="1">
        <v>0.70099999999999996</v>
      </c>
      <c r="Q80" s="1">
        <v>6.7000000000000004E-2</v>
      </c>
    </row>
    <row r="81" spans="1:18" x14ac:dyDescent="0.2">
      <c r="D81" s="1" t="s">
        <v>491</v>
      </c>
      <c r="E81" s="1">
        <v>23270</v>
      </c>
      <c r="F81" s="1">
        <v>18000</v>
      </c>
      <c r="G81" s="1">
        <v>8170</v>
      </c>
      <c r="H81" s="1">
        <v>20000</v>
      </c>
      <c r="I81" s="1">
        <v>20000</v>
      </c>
      <c r="J81" s="1">
        <v>20000</v>
      </c>
      <c r="K81" s="1">
        <v>20000</v>
      </c>
      <c r="L81" s="1">
        <v>20000</v>
      </c>
      <c r="M81" s="1">
        <v>20000</v>
      </c>
      <c r="P81" s="1">
        <v>10930</v>
      </c>
      <c r="Q81" s="1">
        <v>12890</v>
      </c>
    </row>
    <row r="82" spans="1:18" x14ac:dyDescent="0.2">
      <c r="D82" s="1" t="s">
        <v>492</v>
      </c>
      <c r="E82" s="118">
        <v>9.7136289999999997E-3</v>
      </c>
      <c r="F82" s="118">
        <v>1.8852594E-2</v>
      </c>
      <c r="G82" s="118">
        <v>4.2339265000000001E-2</v>
      </c>
      <c r="H82" s="1">
        <v>3.5999999999999997E-2</v>
      </c>
      <c r="I82" s="1">
        <v>0.06</v>
      </c>
      <c r="J82" s="1">
        <v>2.1999999999999999E-2</v>
      </c>
      <c r="K82" s="1">
        <v>0.01</v>
      </c>
      <c r="L82" s="1">
        <v>0</v>
      </c>
      <c r="M82" s="1">
        <v>0</v>
      </c>
      <c r="P82" s="118">
        <v>2.5614311000000001E-2</v>
      </c>
      <c r="Q82" s="118">
        <v>3.026174E-3</v>
      </c>
    </row>
    <row r="84" spans="1:18" x14ac:dyDescent="0.2">
      <c r="B84" s="127" t="s">
        <v>463</v>
      </c>
      <c r="C84" s="127"/>
      <c r="D84" s="127"/>
      <c r="E84" s="127"/>
      <c r="F84" s="127"/>
      <c r="G84" s="127"/>
      <c r="H84" s="127"/>
      <c r="I84" s="127"/>
      <c r="J84" s="127"/>
      <c r="K84" s="127"/>
      <c r="L84" s="127"/>
      <c r="M84" s="127"/>
      <c r="N84" s="127"/>
      <c r="O84" s="127"/>
      <c r="P84" s="127"/>
      <c r="Q84" s="127"/>
      <c r="R84" s="127"/>
    </row>
    <row r="85" spans="1:18" x14ac:dyDescent="0.2">
      <c r="A85" s="1" t="s">
        <v>410</v>
      </c>
      <c r="B85" s="1" t="s">
        <v>409</v>
      </c>
    </row>
    <row r="86" spans="1:18" x14ac:dyDescent="0.2">
      <c r="A86" s="1" t="s">
        <v>523</v>
      </c>
      <c r="B86" s="1" t="s">
        <v>524</v>
      </c>
    </row>
  </sheetData>
  <mergeCells count="11">
    <mergeCell ref="B84:R84"/>
    <mergeCell ref="C3:Q3"/>
    <mergeCell ref="B69:R69"/>
    <mergeCell ref="D71:M71"/>
    <mergeCell ref="C56:O56"/>
    <mergeCell ref="C43:O43"/>
    <mergeCell ref="C36:O36"/>
    <mergeCell ref="C64:O64"/>
    <mergeCell ref="C5:N5"/>
    <mergeCell ref="C20:O20"/>
    <mergeCell ref="O71:R7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10</vt:i4>
      </vt:variant>
    </vt:vector>
  </HeadingPairs>
  <TitlesOfParts>
    <vt:vector size="10" baseType="lpstr">
      <vt:lpstr>Read Me</vt:lpstr>
      <vt:lpstr>body_config</vt:lpstr>
      <vt:lpstr>accessories_config</vt:lpstr>
      <vt:lpstr>gasoline_config</vt:lpstr>
      <vt:lpstr>electric_config</vt:lpstr>
      <vt:lpstr>battery_config</vt:lpstr>
      <vt:lpstr>drivetrain_config</vt:lpstr>
      <vt:lpstr>drivetrain_calculation</vt:lpstr>
      <vt:lpstr>Path_config</vt:lpstr>
      <vt:lpstr>driver_config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Magnaval</dc:creator>
  <cp:lastModifiedBy>Gabriel Magnaval</cp:lastModifiedBy>
  <dcterms:created xsi:type="dcterms:W3CDTF">2024-04-19T08:22:29Z</dcterms:created>
  <dcterms:modified xsi:type="dcterms:W3CDTF">2025-02-15T09:24:07Z</dcterms:modified>
</cp:coreProperties>
</file>